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lases y presentaciones 2021\Fundación BCBA\Avanzado\"/>
    </mc:Choice>
  </mc:AlternateContent>
  <bookViews>
    <workbookView xWindow="0" yWindow="0" windowWidth="20490" windowHeight="7320"/>
  </bookViews>
  <sheets>
    <sheet name="Curva de rendimientos" sheetId="16" r:id="rId1"/>
    <sheet name="TX22" sheetId="19" r:id="rId2"/>
    <sheet name="T2X2" sheetId="27" r:id="rId3"/>
    <sheet name="TX23" sheetId="22" r:id="rId4"/>
    <sheet name="TX24" sheetId="20" r:id="rId5"/>
    <sheet name="TX26" sheetId="21" r:id="rId6"/>
    <sheet name="TX28" sheetId="2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0" l="1"/>
  <c r="C2" i="26"/>
  <c r="C2" i="21"/>
  <c r="C2" i="20"/>
  <c r="C2" i="19"/>
  <c r="C2" i="27"/>
  <c r="C2" i="22"/>
  <c r="N3" i="27" l="1"/>
  <c r="F2" i="27"/>
  <c r="C7" i="27"/>
  <c r="C8" i="27" s="1"/>
  <c r="D4" i="27" s="1"/>
  <c r="B4" i="27" l="1"/>
  <c r="D3" i="27"/>
  <c r="F3" i="27" s="1"/>
  <c r="B3" i="27"/>
  <c r="E4" i="27"/>
  <c r="F4" i="27" s="1"/>
  <c r="F2" i="26"/>
  <c r="F2" i="21"/>
  <c r="C5" i="26"/>
  <c r="C6" i="26" s="1"/>
  <c r="C7" i="26" s="1"/>
  <c r="C8" i="26" s="1"/>
  <c r="C9" i="26" s="1"/>
  <c r="C10" i="26" s="1"/>
  <c r="C11" i="26" s="1"/>
  <c r="C12" i="26" s="1"/>
  <c r="C13" i="26" s="1"/>
  <c r="C14" i="26" s="1"/>
  <c r="C15" i="26" s="1"/>
  <c r="C16" i="26" s="1"/>
  <c r="C17" i="26" s="1"/>
  <c r="C4" i="26"/>
  <c r="C20" i="26"/>
  <c r="C21" i="26" s="1"/>
  <c r="N3" i="26"/>
  <c r="B10" i="26"/>
  <c r="O4" i="27" l="1"/>
  <c r="F5" i="27"/>
  <c r="K3" i="27" s="1"/>
  <c r="Q4" i="27"/>
  <c r="Q5" i="27" s="1"/>
  <c r="D8" i="26"/>
  <c r="D6" i="26"/>
  <c r="F6" i="26" s="1"/>
  <c r="E12" i="26"/>
  <c r="E11" i="26"/>
  <c r="D7" i="26"/>
  <c r="F7" i="26" s="1"/>
  <c r="E10" i="26"/>
  <c r="E13" i="26"/>
  <c r="E9" i="26"/>
  <c r="D5" i="26"/>
  <c r="F5" i="26" s="1"/>
  <c r="E15" i="26"/>
  <c r="E14" i="26"/>
  <c r="E8" i="26"/>
  <c r="E17" i="26"/>
  <c r="E16" i="26"/>
  <c r="B11" i="26"/>
  <c r="B17" i="26"/>
  <c r="B9" i="26"/>
  <c r="B16" i="26"/>
  <c r="B8" i="26"/>
  <c r="B15" i="26"/>
  <c r="B14" i="26"/>
  <c r="B13" i="26"/>
  <c r="B12" i="26"/>
  <c r="B4" i="26"/>
  <c r="D3" i="26"/>
  <c r="B3" i="26"/>
  <c r="D4" i="26"/>
  <c r="F4" i="26" s="1"/>
  <c r="Q6" i="27" l="1"/>
  <c r="E3" i="16" s="1"/>
  <c r="D3" i="16" s="1"/>
  <c r="K4" i="27"/>
  <c r="K5" i="27" s="1"/>
  <c r="D12" i="26"/>
  <c r="F12" i="26" s="1"/>
  <c r="F8" i="26"/>
  <c r="D14" i="26"/>
  <c r="F14" i="26" s="1"/>
  <c r="D11" i="26"/>
  <c r="F11" i="26" s="1"/>
  <c r="D13" i="26"/>
  <c r="F13" i="26" s="1"/>
  <c r="D15" i="26"/>
  <c r="F15" i="26" s="1"/>
  <c r="D16" i="26"/>
  <c r="F16" i="26" s="1"/>
  <c r="D17" i="26"/>
  <c r="F17" i="26" s="1"/>
  <c r="D10" i="26"/>
  <c r="F10" i="26" s="1"/>
  <c r="D9" i="26"/>
  <c r="F9" i="26" s="1"/>
  <c r="B5" i="26"/>
  <c r="Q4" i="26"/>
  <c r="Q5" i="26" s="1"/>
  <c r="Q6" i="26" s="1"/>
  <c r="E7" i="16" s="1"/>
  <c r="D7" i="16" s="1"/>
  <c r="F3" i="26"/>
  <c r="F2" i="22"/>
  <c r="N3" i="22"/>
  <c r="C8" i="22"/>
  <c r="C9" i="22" s="1"/>
  <c r="D3" i="22" s="1"/>
  <c r="E5" i="22" l="1"/>
  <c r="G3" i="27"/>
  <c r="J3" i="27" s="1"/>
  <c r="G4" i="27"/>
  <c r="N8" i="27"/>
  <c r="F3" i="16" s="1"/>
  <c r="N4" i="27"/>
  <c r="J3" i="16" s="1"/>
  <c r="F18" i="26"/>
  <c r="K16" i="26" s="1"/>
  <c r="B6" i="26"/>
  <c r="B3" i="22"/>
  <c r="C4" i="22"/>
  <c r="B4" i="22" s="1"/>
  <c r="N3" i="21"/>
  <c r="C4" i="21"/>
  <c r="C5" i="21" s="1"/>
  <c r="C6" i="21" s="1"/>
  <c r="C7" i="21" s="1"/>
  <c r="C8" i="21" s="1"/>
  <c r="C9" i="21" s="1"/>
  <c r="C10" i="21" s="1"/>
  <c r="C11" i="21" s="1"/>
  <c r="C12" i="21" s="1"/>
  <c r="C13" i="21" s="1"/>
  <c r="C16" i="21"/>
  <c r="C17" i="21" s="1"/>
  <c r="D3" i="21" s="1"/>
  <c r="N3" i="20"/>
  <c r="F2" i="20"/>
  <c r="C4" i="20"/>
  <c r="C5" i="20" s="1"/>
  <c r="C6" i="20" s="1"/>
  <c r="C7" i="20" s="1"/>
  <c r="C10" i="20"/>
  <c r="C11" i="20" s="1"/>
  <c r="D3" i="20" s="1"/>
  <c r="N3" i="19"/>
  <c r="F2" i="19"/>
  <c r="C6" i="19"/>
  <c r="E7" i="20" l="1"/>
  <c r="B5" i="20"/>
  <c r="F3" i="22"/>
  <c r="Q4" i="22"/>
  <c r="Q5" i="22" s="1"/>
  <c r="Q6" i="22" s="1"/>
  <c r="E4" i="16" s="1"/>
  <c r="D4" i="16" s="1"/>
  <c r="C7" i="19"/>
  <c r="E3" i="19" s="1"/>
  <c r="G5" i="27"/>
  <c r="B3" i="19"/>
  <c r="J4" i="27"/>
  <c r="J5" i="27" s="1"/>
  <c r="K6" i="26"/>
  <c r="K10" i="26"/>
  <c r="K17" i="26"/>
  <c r="K15" i="26"/>
  <c r="K5" i="26"/>
  <c r="K13" i="26"/>
  <c r="Q4" i="21"/>
  <c r="K12" i="26"/>
  <c r="K8" i="26"/>
  <c r="K14" i="26"/>
  <c r="K9" i="26"/>
  <c r="K11" i="26"/>
  <c r="K4" i="26"/>
  <c r="E12" i="21"/>
  <c r="B3" i="21"/>
  <c r="B7" i="26"/>
  <c r="K7" i="26" s="1"/>
  <c r="E11" i="21"/>
  <c r="E10" i="21"/>
  <c r="D8" i="21"/>
  <c r="F8" i="21" s="1"/>
  <c r="D7" i="20"/>
  <c r="D7" i="21"/>
  <c r="F7" i="21" s="1"/>
  <c r="D4" i="22"/>
  <c r="F4" i="22" s="1"/>
  <c r="C5" i="22"/>
  <c r="D6" i="20"/>
  <c r="F6" i="20" s="1"/>
  <c r="D6" i="21"/>
  <c r="F6" i="21" s="1"/>
  <c r="D5" i="21"/>
  <c r="F5" i="21" s="1"/>
  <c r="D4" i="20"/>
  <c r="F4" i="20" s="1"/>
  <c r="E9" i="21"/>
  <c r="D10" i="21" s="1"/>
  <c r="F3" i="21"/>
  <c r="E13" i="21"/>
  <c r="D5" i="20"/>
  <c r="F5" i="20" s="1"/>
  <c r="D4" i="21"/>
  <c r="F4" i="21" s="1"/>
  <c r="D9" i="21"/>
  <c r="B11" i="21"/>
  <c r="B10" i="21"/>
  <c r="B9" i="21"/>
  <c r="B8" i="21"/>
  <c r="B7" i="21"/>
  <c r="B6" i="21"/>
  <c r="B13" i="21"/>
  <c r="B5" i="21"/>
  <c r="B12" i="21"/>
  <c r="B4" i="21"/>
  <c r="B3" i="20"/>
  <c r="B4" i="20"/>
  <c r="B7" i="20"/>
  <c r="B6" i="20"/>
  <c r="D3" i="19" l="1"/>
  <c r="Q4" i="19" s="1"/>
  <c r="Q5" i="19" s="1"/>
  <c r="Q6" i="19" s="1"/>
  <c r="F7" i="20"/>
  <c r="F3" i="20"/>
  <c r="Q4" i="20"/>
  <c r="Q5" i="20" s="1"/>
  <c r="Q6" i="20" s="1"/>
  <c r="E5" i="16" s="1"/>
  <c r="H3" i="27"/>
  <c r="I3" i="27" s="1"/>
  <c r="H4" i="27"/>
  <c r="N7" i="27"/>
  <c r="I3" i="16" s="1"/>
  <c r="F10" i="21"/>
  <c r="D12" i="21"/>
  <c r="F12" i="21" s="1"/>
  <c r="B5" i="22"/>
  <c r="D5" i="22"/>
  <c r="F5" i="22" s="1"/>
  <c r="F6" i="22" s="1"/>
  <c r="D11" i="21"/>
  <c r="F11" i="21" s="1"/>
  <c r="F9" i="21"/>
  <c r="D13" i="21"/>
  <c r="F13" i="21" s="1"/>
  <c r="F3" i="19" l="1"/>
  <c r="F4" i="19" s="1"/>
  <c r="F8" i="20"/>
  <c r="K6" i="20" s="1"/>
  <c r="I4" i="27"/>
  <c r="I5" i="27" s="1"/>
  <c r="N5" i="27" s="1"/>
  <c r="H5" i="27"/>
  <c r="E2" i="16"/>
  <c r="O4" i="20"/>
  <c r="O4" i="19" l="1"/>
  <c r="G3" i="19" s="1"/>
  <c r="K3" i="19"/>
  <c r="K4" i="19" s="1"/>
  <c r="N8" i="19" s="1"/>
  <c r="K5" i="20"/>
  <c r="K4" i="20"/>
  <c r="K3" i="20"/>
  <c r="K7" i="20"/>
  <c r="N6" i="27"/>
  <c r="G3" i="16" s="1"/>
  <c r="H3" i="16"/>
  <c r="O4" i="22"/>
  <c r="G7" i="20"/>
  <c r="J7" i="20" s="1"/>
  <c r="G3" i="20"/>
  <c r="G4" i="20"/>
  <c r="J4" i="20" s="1"/>
  <c r="G5" i="20"/>
  <c r="J5" i="20" s="1"/>
  <c r="G6" i="20"/>
  <c r="J6" i="20" s="1"/>
  <c r="N4" i="20"/>
  <c r="J5" i="16" s="1"/>
  <c r="N4" i="19" l="1"/>
  <c r="J2" i="16" s="1"/>
  <c r="K8" i="20"/>
  <c r="N8" i="20" s="1"/>
  <c r="F5" i="16" s="1"/>
  <c r="J3" i="20"/>
  <c r="J8" i="20" s="1"/>
  <c r="G8" i="20"/>
  <c r="J3" i="19"/>
  <c r="G4" i="19"/>
  <c r="H3" i="19" s="1"/>
  <c r="F2" i="16"/>
  <c r="N4" i="22"/>
  <c r="J4" i="16" s="1"/>
  <c r="G3" i="22"/>
  <c r="G4" i="22"/>
  <c r="G5" i="22"/>
  <c r="Q5" i="21"/>
  <c r="Q6" i="21" s="1"/>
  <c r="E6" i="16" s="1"/>
  <c r="H5" i="20" l="1"/>
  <c r="I5" i="20" s="1"/>
  <c r="G6" i="22"/>
  <c r="J4" i="19"/>
  <c r="N7" i="19" s="1"/>
  <c r="I2" i="16" s="1"/>
  <c r="H4" i="19"/>
  <c r="J4" i="22"/>
  <c r="J5" i="22"/>
  <c r="J3" i="22"/>
  <c r="K3" i="22"/>
  <c r="K4" i="22"/>
  <c r="K5" i="22"/>
  <c r="F14" i="21"/>
  <c r="H6" i="20"/>
  <c r="I6" i="20" s="1"/>
  <c r="H7" i="20"/>
  <c r="I7" i="20" s="1"/>
  <c r="H3" i="20"/>
  <c r="H4" i="20"/>
  <c r="I4" i="20" s="1"/>
  <c r="N7" i="20"/>
  <c r="I5" i="16" s="1"/>
  <c r="I3" i="20" l="1"/>
  <c r="H8" i="20"/>
  <c r="H3" i="22"/>
  <c r="I3" i="22" s="1"/>
  <c r="J6" i="22"/>
  <c r="N7" i="22" s="1"/>
  <c r="I4" i="16" s="1"/>
  <c r="K6" i="22"/>
  <c r="N8" i="22" s="1"/>
  <c r="I3" i="19"/>
  <c r="I4" i="19" s="1"/>
  <c r="N5" i="19" s="1"/>
  <c r="H5" i="22"/>
  <c r="I5" i="22" s="1"/>
  <c r="H4" i="22"/>
  <c r="I4" i="22" s="1"/>
  <c r="K3" i="21"/>
  <c r="K4" i="21"/>
  <c r="K10" i="21"/>
  <c r="K9" i="21"/>
  <c r="K6" i="21"/>
  <c r="K8" i="21"/>
  <c r="K11" i="21"/>
  <c r="K5" i="21"/>
  <c r="K13" i="21"/>
  <c r="K12" i="21"/>
  <c r="K7" i="21"/>
  <c r="O4" i="21"/>
  <c r="I8" i="20" l="1"/>
  <c r="N5" i="20" s="1"/>
  <c r="I6" i="22"/>
  <c r="N5" i="22" s="1"/>
  <c r="H6" i="22"/>
  <c r="G13" i="21"/>
  <c r="J13" i="21" s="1"/>
  <c r="F4" i="16"/>
  <c r="G3" i="21"/>
  <c r="J3" i="21" s="1"/>
  <c r="G11" i="21"/>
  <c r="J11" i="21" s="1"/>
  <c r="G8" i="21"/>
  <c r="J8" i="21" s="1"/>
  <c r="G4" i="21"/>
  <c r="J4" i="21" s="1"/>
  <c r="G12" i="21"/>
  <c r="J12" i="21" s="1"/>
  <c r="G5" i="21"/>
  <c r="J5" i="21" s="1"/>
  <c r="G6" i="21"/>
  <c r="J6" i="21" s="1"/>
  <c r="G7" i="21"/>
  <c r="J7" i="21" s="1"/>
  <c r="G9" i="21"/>
  <c r="J9" i="21" s="1"/>
  <c r="G10" i="21"/>
  <c r="J10" i="21" s="1"/>
  <c r="K14" i="21"/>
  <c r="N8" i="21" s="1"/>
  <c r="N4" i="21"/>
  <c r="J6" i="16" s="1"/>
  <c r="N6" i="19"/>
  <c r="H2" i="16"/>
  <c r="N6" i="20" l="1"/>
  <c r="G5" i="16" s="1"/>
  <c r="H5" i="16"/>
  <c r="F6" i="16"/>
  <c r="O4" i="26"/>
  <c r="K3" i="26"/>
  <c r="N6" i="22"/>
  <c r="G4" i="16" s="1"/>
  <c r="H4" i="16"/>
  <c r="G2" i="16"/>
  <c r="G14" i="21"/>
  <c r="G6" i="26" l="1"/>
  <c r="J6" i="26" s="1"/>
  <c r="G14" i="26"/>
  <c r="J14" i="26" s="1"/>
  <c r="G10" i="26"/>
  <c r="J10" i="26" s="1"/>
  <c r="G4" i="26"/>
  <c r="J4" i="26" s="1"/>
  <c r="G7" i="26"/>
  <c r="J7" i="26" s="1"/>
  <c r="G15" i="26"/>
  <c r="J15" i="26" s="1"/>
  <c r="G9" i="26"/>
  <c r="J9" i="26" s="1"/>
  <c r="G12" i="26"/>
  <c r="J12" i="26" s="1"/>
  <c r="G5" i="26"/>
  <c r="J5" i="26" s="1"/>
  <c r="G13" i="26"/>
  <c r="J13" i="26" s="1"/>
  <c r="G8" i="26"/>
  <c r="J8" i="26" s="1"/>
  <c r="G16" i="26"/>
  <c r="J16" i="26" s="1"/>
  <c r="G17" i="26"/>
  <c r="J17" i="26" s="1"/>
  <c r="G11" i="26"/>
  <c r="J11" i="26" s="1"/>
  <c r="H3" i="21"/>
  <c r="I3" i="21" s="1"/>
  <c r="G3" i="26"/>
  <c r="J3" i="26" s="1"/>
  <c r="N4" i="26"/>
  <c r="J7" i="16" s="1"/>
  <c r="K18" i="26"/>
  <c r="N8" i="26" s="1"/>
  <c r="F7" i="16" s="1"/>
  <c r="H12" i="21"/>
  <c r="I12" i="21" s="1"/>
  <c r="H5" i="21"/>
  <c r="I5" i="21" s="1"/>
  <c r="H9" i="21"/>
  <c r="I9" i="21" s="1"/>
  <c r="H10" i="21"/>
  <c r="I10" i="21" s="1"/>
  <c r="H7" i="21"/>
  <c r="I7" i="21" s="1"/>
  <c r="H6" i="21"/>
  <c r="I6" i="21" s="1"/>
  <c r="H8" i="21"/>
  <c r="I8" i="21" s="1"/>
  <c r="H13" i="21"/>
  <c r="I13" i="21" s="1"/>
  <c r="H4" i="21"/>
  <c r="I4" i="21" s="1"/>
  <c r="H11" i="21"/>
  <c r="I11" i="21" s="1"/>
  <c r="J14" i="21"/>
  <c r="N7" i="21" s="1"/>
  <c r="D5" i="16"/>
  <c r="I6" i="16" l="1"/>
  <c r="G18" i="26"/>
  <c r="H9" i="26" s="1"/>
  <c r="I9" i="26" s="1"/>
  <c r="J18" i="26"/>
  <c r="N7" i="26" s="1"/>
  <c r="I7" i="16" s="1"/>
  <c r="I14" i="21"/>
  <c r="N5" i="21" s="1"/>
  <c r="H14" i="21"/>
  <c r="N6" i="21" l="1"/>
  <c r="G6" i="16" s="1"/>
  <c r="H11" i="26"/>
  <c r="I11" i="26" s="1"/>
  <c r="H16" i="26"/>
  <c r="I16" i="26" s="1"/>
  <c r="H13" i="26"/>
  <c r="I13" i="26" s="1"/>
  <c r="H14" i="26"/>
  <c r="I14" i="26" s="1"/>
  <c r="H15" i="26"/>
  <c r="I15" i="26" s="1"/>
  <c r="H10" i="26"/>
  <c r="I10" i="26" s="1"/>
  <c r="H12" i="26"/>
  <c r="I12" i="26" s="1"/>
  <c r="H17" i="26"/>
  <c r="I17" i="26" s="1"/>
  <c r="H8" i="26"/>
  <c r="I8" i="26" s="1"/>
  <c r="H4" i="26"/>
  <c r="I4" i="26" s="1"/>
  <c r="H5" i="26"/>
  <c r="I5" i="26" s="1"/>
  <c r="H7" i="26"/>
  <c r="I7" i="26" s="1"/>
  <c r="H3" i="26"/>
  <c r="H6" i="26"/>
  <c r="I6" i="26" s="1"/>
  <c r="H6" i="16"/>
  <c r="H18" i="26" l="1"/>
  <c r="I3" i="26"/>
  <c r="I18" i="26" s="1"/>
  <c r="N5" i="26" s="1"/>
  <c r="N6" i="26" l="1"/>
  <c r="G7" i="16" s="1"/>
  <c r="H7" i="16"/>
  <c r="D6" i="16" l="1"/>
  <c r="D2" i="16" l="1"/>
</calcChain>
</file>

<file path=xl/sharedStrings.xml><?xml version="1.0" encoding="utf-8"?>
<sst xmlns="http://schemas.openxmlformats.org/spreadsheetml/2006/main" count="168" uniqueCount="37">
  <si>
    <t>Fecha</t>
  </si>
  <si>
    <t>Renta</t>
  </si>
  <si>
    <t>Amortización</t>
  </si>
  <si>
    <t>Flujo de Fondos</t>
  </si>
  <si>
    <t>Coupon rate</t>
  </si>
  <si>
    <t>Valor Presente</t>
  </si>
  <si>
    <t>DURACION</t>
  </si>
  <si>
    <t>DM</t>
  </si>
  <si>
    <t>TIR N.A.</t>
  </si>
  <si>
    <t>(1)*(2)</t>
  </si>
  <si>
    <r>
      <t xml:space="preserve">Tiempo en años </t>
    </r>
    <r>
      <rPr>
        <b/>
        <sz val="11"/>
        <color theme="3" tint="-0.499984740745262"/>
        <rFont val="Calibri"/>
        <family val="2"/>
        <scheme val="minor"/>
      </rPr>
      <t>(1)</t>
    </r>
  </si>
  <si>
    <t>V.P.Cupón/Precio                              Ponderadores  (2)</t>
  </si>
  <si>
    <t>TIR. N.A.</t>
  </si>
  <si>
    <t>Especie</t>
  </si>
  <si>
    <t>PRECIO</t>
  </si>
  <si>
    <t>Interés corrido</t>
  </si>
  <si>
    <t>Paridad</t>
  </si>
  <si>
    <t>Valor Técnico</t>
  </si>
  <si>
    <t>t*(1+t)*VP</t>
  </si>
  <si>
    <t>CONVEXIDAD</t>
  </si>
  <si>
    <t>Convexidad/100</t>
  </si>
  <si>
    <t>t x FF/SUMA(FF)</t>
  </si>
  <si>
    <t>PPV</t>
  </si>
  <si>
    <t>PPV*</t>
  </si>
  <si>
    <t>* Plazo Promedio de Vida</t>
  </si>
  <si>
    <t>Precio C/100 V.N. (48 hs.)</t>
  </si>
  <si>
    <t>CER al inicio</t>
  </si>
  <si>
    <t>Último CER disponible</t>
  </si>
  <si>
    <t>VALOR NOMINAL ACTUALIZADO</t>
  </si>
  <si>
    <t>Último Cupón</t>
  </si>
  <si>
    <t>TX22</t>
  </si>
  <si>
    <t>TX26</t>
  </si>
  <si>
    <t>TX24</t>
  </si>
  <si>
    <t>(Base 2/2/2002=1)</t>
  </si>
  <si>
    <t>TX23</t>
  </si>
  <si>
    <t>TX28</t>
  </si>
  <si>
    <t>T2X2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</si>
</sst>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%"/>
    <numFmt numFmtId="165" formatCode="0.000"/>
    <numFmt numFmtId="166" formatCode="0.0000"/>
    <numFmt numFmtId="167" formatCode="0.0000%"/>
    <numFmt numFmtId="168" formatCode="0.00000"/>
    <numFmt numFmtId="169" formatCode="0.0"/>
    <numFmt numFmtId="170" formatCode="#,##0.000"/>
    <numFmt numFmtId="171" formatCode="0.0000000000"/>
    <numFmt numFmtId="172" formatCode="0.000000"/>
    <numFmt numFmtId="173" formatCode="#,##0.00000"/>
    <numFmt numFmtId="174" formatCode="&quot;$&quot;\ #,##0.00000;[Red]\-&quot;$&quot;\ #,##0.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.5"/>
      <color theme="3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.5"/>
      <color theme="0"/>
      <name val="Calibri"/>
      <family val="2"/>
      <scheme val="minor"/>
    </font>
    <font>
      <sz val="9"/>
      <color rgb="FF444444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172" fontId="0" fillId="2" borderId="0" xfId="0" applyNumberFormat="1" applyFill="1" applyProtection="1"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14" fontId="4" fillId="2" borderId="5" xfId="0" applyNumberFormat="1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171" fontId="0" fillId="2" borderId="0" xfId="0" applyNumberFormat="1" applyFill="1" applyProtection="1">
      <protection hidden="1"/>
    </xf>
    <xf numFmtId="164" fontId="4" fillId="2" borderId="0" xfId="0" applyNumberFormat="1" applyFont="1" applyFill="1" applyBorder="1" applyAlignment="1" applyProtection="1">
      <alignment horizontal="center"/>
      <protection hidden="1"/>
    </xf>
    <xf numFmtId="2" fontId="4" fillId="2" borderId="0" xfId="0" applyNumberFormat="1" applyFont="1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2" fontId="9" fillId="0" borderId="6" xfId="1" applyNumberFormat="1" applyFont="1" applyBorder="1" applyAlignment="1" applyProtection="1">
      <alignment horizontal="center" vertical="center"/>
      <protection hidden="1"/>
    </xf>
    <xf numFmtId="10" fontId="9" fillId="2" borderId="12" xfId="1" applyNumberFormat="1" applyFont="1" applyFill="1" applyBorder="1" applyAlignment="1" applyProtection="1">
      <alignment horizontal="center" vertical="center"/>
      <protection hidden="1"/>
    </xf>
    <xf numFmtId="10" fontId="9" fillId="2" borderId="0" xfId="1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167" fontId="3" fillId="2" borderId="4" xfId="0" applyNumberFormat="1" applyFont="1" applyFill="1" applyBorder="1" applyProtection="1">
      <protection locked="0" hidden="1"/>
    </xf>
    <xf numFmtId="166" fontId="8" fillId="2" borderId="0" xfId="0" applyNumberFormat="1" applyFont="1" applyFill="1" applyBorder="1" applyAlignment="1" applyProtection="1">
      <alignment horizontal="center"/>
      <protection locked="0" hidden="1"/>
    </xf>
    <xf numFmtId="14" fontId="8" fillId="2" borderId="0" xfId="0" quotePrefix="1" applyNumberFormat="1" applyFont="1" applyFill="1" applyBorder="1" applyAlignment="1" applyProtection="1">
      <alignment horizontal="center"/>
      <protection locked="0" hidden="1"/>
    </xf>
    <xf numFmtId="165" fontId="8" fillId="2" borderId="0" xfId="0" applyNumberFormat="1" applyFont="1" applyFill="1" applyBorder="1" applyAlignment="1" applyProtection="1">
      <alignment horizontal="center"/>
      <protection locked="0" hidden="1"/>
    </xf>
    <xf numFmtId="10" fontId="8" fillId="2" borderId="0" xfId="1" applyNumberFormat="1" applyFont="1" applyFill="1" applyBorder="1" applyAlignment="1" applyProtection="1">
      <alignment horizontal="center"/>
      <protection locked="0" hidden="1"/>
    </xf>
    <xf numFmtId="0" fontId="5" fillId="6" borderId="2" xfId="0" applyFont="1" applyFill="1" applyBorder="1" applyAlignment="1" applyProtection="1">
      <alignment horizontal="center" vertical="center"/>
      <protection locked="0" hidden="1"/>
    </xf>
    <xf numFmtId="4" fontId="9" fillId="0" borderId="7" xfId="0" applyNumberFormat="1" applyFont="1" applyBorder="1" applyAlignment="1" applyProtection="1">
      <alignment horizontal="center" vertical="center"/>
      <protection locked="0" hidden="1"/>
    </xf>
    <xf numFmtId="0" fontId="0" fillId="2" borderId="0" xfId="0" applyFill="1" applyProtection="1">
      <protection locked="0" hidden="1"/>
    </xf>
    <xf numFmtId="14" fontId="3" fillId="2" borderId="1" xfId="0" applyNumberFormat="1" applyFont="1" applyFill="1" applyBorder="1" applyAlignment="1" applyProtection="1">
      <alignment horizontal="center" vertical="center"/>
      <protection locked="0" hidden="1"/>
    </xf>
    <xf numFmtId="10" fontId="9" fillId="0" borderId="8" xfId="0" applyNumberFormat="1" applyFont="1" applyBorder="1" applyAlignment="1" applyProtection="1">
      <alignment horizontal="center" vertical="center"/>
      <protection locked="0" hidden="1"/>
    </xf>
    <xf numFmtId="0" fontId="10" fillId="2" borderId="0" xfId="0" applyFont="1" applyFill="1" applyBorder="1" applyProtection="1">
      <protection locked="0" hidden="1"/>
    </xf>
    <xf numFmtId="170" fontId="9" fillId="0" borderId="7" xfId="0" applyNumberFormat="1" applyFont="1" applyBorder="1" applyAlignment="1" applyProtection="1">
      <alignment horizontal="center" vertical="center"/>
      <protection locked="0" hidden="1"/>
    </xf>
    <xf numFmtId="2" fontId="9" fillId="2" borderId="8" xfId="0" applyNumberFormat="1" applyFont="1" applyFill="1" applyBorder="1" applyAlignment="1" applyProtection="1">
      <alignment horizontal="center"/>
      <protection locked="0" hidden="1"/>
    </xf>
    <xf numFmtId="2" fontId="9" fillId="2" borderId="9" xfId="0" applyNumberFormat="1" applyFont="1" applyFill="1" applyBorder="1" applyAlignment="1" applyProtection="1">
      <alignment horizontal="center"/>
      <protection locked="0" hidden="1"/>
    </xf>
    <xf numFmtId="10" fontId="9" fillId="0" borderId="1" xfId="1" applyNumberFormat="1" applyFont="1" applyBorder="1" applyAlignment="1" applyProtection="1">
      <alignment horizontal="center" vertical="center"/>
      <protection locked="0" hidden="1"/>
    </xf>
    <xf numFmtId="0" fontId="14" fillId="2" borderId="0" xfId="0" applyFont="1" applyFill="1" applyBorder="1" applyAlignment="1" applyProtection="1">
      <alignment horizontal="center"/>
      <protection locked="0" hidden="1"/>
    </xf>
    <xf numFmtId="169" fontId="13" fillId="2" borderId="0" xfId="0" applyNumberFormat="1" applyFont="1" applyFill="1" applyBorder="1" applyAlignment="1" applyProtection="1">
      <alignment horizontal="center"/>
      <protection locked="0" hidden="1"/>
    </xf>
    <xf numFmtId="164" fontId="4" fillId="2" borderId="0" xfId="0" applyNumberFormat="1" applyFont="1" applyFill="1" applyBorder="1" applyAlignment="1" applyProtection="1">
      <alignment horizontal="center"/>
      <protection locked="0" hidden="1"/>
    </xf>
    <xf numFmtId="2" fontId="4" fillId="2" borderId="0" xfId="0" applyNumberFormat="1" applyFont="1" applyFill="1" applyBorder="1" applyAlignment="1" applyProtection="1">
      <alignment horizontal="center"/>
      <protection locked="0" hidden="1"/>
    </xf>
    <xf numFmtId="10" fontId="6" fillId="2" borderId="4" xfId="0" applyNumberFormat="1" applyFont="1" applyFill="1" applyBorder="1" applyAlignment="1" applyProtection="1">
      <alignment horizontal="center"/>
      <protection locked="0" hidden="1"/>
    </xf>
    <xf numFmtId="165" fontId="9" fillId="5" borderId="0" xfId="0" applyNumberFormat="1" applyFont="1" applyFill="1" applyBorder="1" applyAlignment="1" applyProtection="1">
      <alignment horizontal="center" vertical="center"/>
      <protection locked="0" hidden="1"/>
    </xf>
    <xf numFmtId="170" fontId="9" fillId="5" borderId="0" xfId="0" applyNumberFormat="1" applyFont="1" applyFill="1" applyBorder="1" applyAlignment="1" applyProtection="1">
      <alignment horizontal="center" vertical="center"/>
      <protection locked="0" hidden="1"/>
    </xf>
    <xf numFmtId="4" fontId="9" fillId="5" borderId="0" xfId="0" applyNumberFormat="1" applyFont="1" applyFill="1" applyBorder="1" applyAlignment="1" applyProtection="1">
      <alignment horizontal="center" vertical="center"/>
      <protection locked="0" hidden="1"/>
    </xf>
    <xf numFmtId="170" fontId="9" fillId="2" borderId="0" xfId="0" applyNumberFormat="1" applyFont="1" applyFill="1" applyBorder="1" applyAlignment="1" applyProtection="1">
      <alignment horizontal="center" vertical="center"/>
      <protection locked="0" hidden="1"/>
    </xf>
    <xf numFmtId="0" fontId="17" fillId="4" borderId="2" xfId="0" applyFont="1" applyFill="1" applyBorder="1" applyAlignment="1" applyProtection="1">
      <alignment horizontal="center" vertical="center"/>
      <protection hidden="1"/>
    </xf>
    <xf numFmtId="0" fontId="17" fillId="4" borderId="13" xfId="0" applyFont="1" applyFill="1" applyBorder="1" applyAlignment="1" applyProtection="1">
      <alignment horizontal="center" vertical="center"/>
      <protection hidden="1"/>
    </xf>
    <xf numFmtId="165" fontId="9" fillId="0" borderId="6" xfId="1" applyNumberFormat="1" applyFont="1" applyBorder="1" applyAlignment="1" applyProtection="1">
      <alignment horizontal="center" vertical="center"/>
      <protection hidden="1"/>
    </xf>
    <xf numFmtId="167" fontId="3" fillId="0" borderId="0" xfId="0" applyNumberFormat="1" applyFont="1" applyFill="1" applyBorder="1" applyProtection="1">
      <protection locked="0"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Protection="1">
      <protection locked="0" hidden="1"/>
    </xf>
    <xf numFmtId="170" fontId="18" fillId="0" borderId="0" xfId="0" applyNumberFormat="1" applyFont="1"/>
    <xf numFmtId="170" fontId="0" fillId="0" borderId="0" xfId="0" applyNumberFormat="1" applyFill="1" applyBorder="1" applyProtection="1">
      <protection hidden="1"/>
    </xf>
    <xf numFmtId="14" fontId="0" fillId="0" borderId="0" xfId="0" applyNumberFormat="1" applyFill="1" applyBorder="1" applyProtection="1">
      <protection hidden="1"/>
    </xf>
    <xf numFmtId="0" fontId="3" fillId="0" borderId="7" xfId="0" applyFont="1" applyFill="1" applyBorder="1" applyProtection="1">
      <protection hidden="1"/>
    </xf>
    <xf numFmtId="2" fontId="3" fillId="0" borderId="19" xfId="0" applyNumberFormat="1" applyFont="1" applyFill="1" applyBorder="1" applyProtection="1">
      <protection hidden="1"/>
    </xf>
    <xf numFmtId="168" fontId="3" fillId="0" borderId="1" xfId="0" applyNumberFormat="1" applyFont="1" applyFill="1" applyBorder="1" applyProtection="1">
      <protection hidden="1"/>
    </xf>
    <xf numFmtId="164" fontId="8" fillId="2" borderId="0" xfId="1" applyNumberFormat="1" applyFont="1" applyFill="1" applyBorder="1" applyAlignment="1" applyProtection="1">
      <alignment horizontal="center"/>
      <protection locked="0" hidden="1"/>
    </xf>
    <xf numFmtId="164" fontId="9" fillId="5" borderId="0" xfId="1" applyNumberFormat="1" applyFont="1" applyFill="1" applyBorder="1" applyAlignment="1" applyProtection="1">
      <alignment horizontal="center" vertical="center"/>
      <protection locked="0" hidden="1"/>
    </xf>
    <xf numFmtId="2" fontId="9" fillId="5" borderId="0" xfId="0" applyNumberFormat="1" applyFont="1" applyFill="1" applyBorder="1" applyAlignment="1" applyProtection="1">
      <alignment horizontal="center" vertical="center"/>
      <protection locked="0" hidden="1"/>
    </xf>
    <xf numFmtId="0" fontId="7" fillId="2" borderId="0" xfId="0" applyFont="1" applyFill="1" applyProtection="1">
      <protection hidden="1"/>
    </xf>
    <xf numFmtId="165" fontId="4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2" fontId="15" fillId="2" borderId="0" xfId="0" applyNumberFormat="1" applyFont="1" applyFill="1" applyBorder="1" applyAlignment="1" applyProtection="1">
      <alignment horizontal="center" vertical="center"/>
      <protection hidden="1"/>
    </xf>
    <xf numFmtId="169" fontId="0" fillId="2" borderId="0" xfId="0" applyNumberFormat="1" applyFill="1" applyProtection="1">
      <protection hidden="1"/>
    </xf>
    <xf numFmtId="2" fontId="8" fillId="2" borderId="0" xfId="0" applyNumberFormat="1" applyFont="1" applyFill="1" applyBorder="1" applyAlignment="1" applyProtection="1">
      <alignment horizontal="center"/>
      <protection locked="0" hidden="1"/>
    </xf>
    <xf numFmtId="4" fontId="0" fillId="2" borderId="0" xfId="0" applyNumberFormat="1" applyFill="1" applyProtection="1">
      <protection hidden="1"/>
    </xf>
    <xf numFmtId="2" fontId="9" fillId="8" borderId="6" xfId="0" applyNumberFormat="1" applyFont="1" applyFill="1" applyBorder="1" applyAlignment="1" applyProtection="1">
      <alignment horizontal="center" vertical="center"/>
      <protection locked="0"/>
    </xf>
    <xf numFmtId="2" fontId="9" fillId="8" borderId="1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Fill="1" applyBorder="1" applyProtection="1">
      <protection hidden="1"/>
    </xf>
    <xf numFmtId="174" fontId="0" fillId="0" borderId="0" xfId="0" applyNumberFormat="1" applyFill="1" applyBorder="1" applyProtection="1">
      <protection hidden="1"/>
    </xf>
    <xf numFmtId="10" fontId="9" fillId="2" borderId="6" xfId="1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Fill="1" applyBorder="1" applyProtection="1">
      <protection hidden="1"/>
    </xf>
    <xf numFmtId="0" fontId="20" fillId="4" borderId="3" xfId="0" applyFont="1" applyFill="1" applyBorder="1" applyAlignment="1" applyProtection="1">
      <alignment horizontal="center" vertical="center"/>
      <protection hidden="1"/>
    </xf>
    <xf numFmtId="165" fontId="3" fillId="0" borderId="7" xfId="0" applyNumberFormat="1" applyFont="1" applyFill="1" applyBorder="1" applyProtection="1">
      <protection hidden="1"/>
    </xf>
    <xf numFmtId="165" fontId="3" fillId="0" borderId="19" xfId="0" applyNumberFormat="1" applyFont="1" applyFill="1" applyBorder="1" applyProtection="1">
      <protection hidden="1"/>
    </xf>
    <xf numFmtId="0" fontId="21" fillId="2" borderId="0" xfId="0" applyFont="1" applyFill="1" applyProtection="1">
      <protection locked="0" hidden="1"/>
    </xf>
    <xf numFmtId="165" fontId="9" fillId="0" borderId="7" xfId="0" applyNumberFormat="1" applyFont="1" applyBorder="1" applyAlignment="1" applyProtection="1">
      <alignment horizontal="center" vertical="center"/>
      <protection locked="0" hidden="1"/>
    </xf>
    <xf numFmtId="169" fontId="9" fillId="5" borderId="0" xfId="0" applyNumberFormat="1" applyFont="1" applyFill="1" applyBorder="1" applyAlignment="1" applyProtection="1">
      <alignment horizontal="center" vertical="center"/>
      <protection locked="0" hidden="1"/>
    </xf>
    <xf numFmtId="169" fontId="15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4" borderId="2" xfId="0" applyFont="1" applyFill="1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167" fontId="19" fillId="7" borderId="17" xfId="0" applyNumberFormat="1" applyFont="1" applyFill="1" applyBorder="1" applyAlignment="1" applyProtection="1">
      <alignment vertical="center" wrapText="1"/>
      <protection locked="0" hidden="1"/>
    </xf>
    <xf numFmtId="167" fontId="19" fillId="7" borderId="20" xfId="0" applyNumberFormat="1" applyFont="1" applyFill="1" applyBorder="1" applyAlignment="1" applyProtection="1">
      <alignment vertical="center" wrapText="1"/>
      <protection locked="0" hidden="1"/>
    </xf>
    <xf numFmtId="167" fontId="19" fillId="7" borderId="21" xfId="0" applyNumberFormat="1" applyFont="1" applyFill="1" applyBorder="1" applyAlignment="1" applyProtection="1">
      <alignment vertical="center" wrapText="1"/>
      <protection locked="0" hidden="1"/>
    </xf>
    <xf numFmtId="167" fontId="19" fillId="7" borderId="22" xfId="0" applyNumberFormat="1" applyFont="1" applyFill="1" applyBorder="1" applyAlignment="1" applyProtection="1">
      <alignment vertical="center" wrapText="1"/>
      <protection locked="0" hidden="1"/>
    </xf>
    <xf numFmtId="167" fontId="19" fillId="7" borderId="2" xfId="0" applyNumberFormat="1" applyFont="1" applyFill="1" applyBorder="1" applyAlignment="1" applyProtection="1">
      <alignment vertical="center" wrapText="1"/>
      <protection locked="0" hidden="1"/>
    </xf>
    <xf numFmtId="167" fontId="19" fillId="7" borderId="3" xfId="0" applyNumberFormat="1" applyFont="1" applyFill="1" applyBorder="1" applyAlignment="1" applyProtection="1">
      <alignment vertical="center" wrapText="1"/>
      <protection locked="0" hidden="1"/>
    </xf>
    <xf numFmtId="167" fontId="19" fillId="7" borderId="6" xfId="0" applyNumberFormat="1" applyFont="1" applyFill="1" applyBorder="1" applyAlignment="1" applyProtection="1">
      <alignment vertical="center" wrapText="1"/>
      <protection locked="0" hidden="1"/>
    </xf>
    <xf numFmtId="0" fontId="0" fillId="7" borderId="17" xfId="0" applyFill="1" applyBorder="1" applyAlignment="1">
      <alignment vertical="center" wrapText="1"/>
    </xf>
    <xf numFmtId="167" fontId="19" fillId="7" borderId="15" xfId="0" applyNumberFormat="1" applyFont="1" applyFill="1" applyBorder="1" applyAlignment="1" applyProtection="1">
      <alignment vertical="center" wrapText="1"/>
      <protection locked="0" hidden="1"/>
    </xf>
    <xf numFmtId="0" fontId="0" fillId="7" borderId="14" xfId="0" applyFill="1" applyBorder="1" applyAlignment="1">
      <alignment vertical="center" wrapText="1"/>
    </xf>
    <xf numFmtId="167" fontId="19" fillId="7" borderId="16" xfId="0" applyNumberFormat="1" applyFont="1" applyFill="1" applyBorder="1" applyAlignment="1" applyProtection="1">
      <alignment vertical="center" wrapText="1"/>
      <protection locked="0" hidden="1"/>
    </xf>
    <xf numFmtId="0" fontId="0" fillId="7" borderId="18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900" b="0">
                <a:solidFill>
                  <a:schemeClr val="tx2">
                    <a:lumMod val="75000"/>
                  </a:schemeClr>
                </a:solidFill>
              </a:rPr>
              <a:t>Curva de Rendimientos </a:t>
            </a:r>
            <a:r>
              <a:rPr lang="en-US" sz="1900" b="0" i="1">
                <a:solidFill>
                  <a:schemeClr val="tx2">
                    <a:lumMod val="75000"/>
                  </a:schemeClr>
                </a:solidFill>
              </a:rPr>
              <a:t>Bonos CER (20/09/2021)</a:t>
            </a:r>
          </a:p>
        </c:rich>
      </c:tx>
      <c:layout>
        <c:manualLayout>
          <c:xMode val="edge"/>
          <c:yMode val="edge"/>
          <c:x val="0.27941870169454625"/>
          <c:y val="2.4558622819301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7.1858859974049533E-2"/>
          <c:y val="0.14195933642266009"/>
          <c:w val="0.89305259655940572"/>
          <c:h val="0.701107954659910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'Curva de rendimientos'!$J$1</c:f>
              <c:strCache>
                <c:ptCount val="1"/>
                <c:pt idx="0">
                  <c:v>TIR N.A.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857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322727883469786E-3"/>
                  <c:y val="-7.1360182847957462E-2"/>
                </c:manualLayout>
              </c:layout>
              <c:tx>
                <c:rich>
                  <a:bodyPr/>
                  <a:lstStyle/>
                  <a:p>
                    <a:fld id="{342B3C30-0C74-47E6-AD20-70C9D266353F}" type="CELLRANGE">
                      <a:rPr lang="en-US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14E-4805-97F8-3E10730CB325}"/>
                </c:ext>
              </c:extLst>
            </c:dLbl>
            <c:dLbl>
              <c:idx val="1"/>
              <c:layout>
                <c:manualLayout>
                  <c:x val="0"/>
                  <c:y val="7.6555023923444918E-2"/>
                </c:manualLayout>
              </c:layout>
              <c:tx>
                <c:rich>
                  <a:bodyPr/>
                  <a:lstStyle/>
                  <a:p>
                    <a:fld id="{C24EF7E4-7F5F-4A7A-A1F5-FC2A93E607AB}" type="CELLRANGE">
                      <a:rPr lang="en-US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14E-4805-97F8-3E10730CB325}"/>
                </c:ext>
              </c:extLst>
            </c:dLbl>
            <c:dLbl>
              <c:idx val="2"/>
              <c:layout>
                <c:manualLayout>
                  <c:x val="-4.7225495917288278E-3"/>
                  <c:y val="7.4074074074074014E-2"/>
                </c:manualLayout>
              </c:layout>
              <c:tx>
                <c:rich>
                  <a:bodyPr/>
                  <a:lstStyle/>
                  <a:p>
                    <a:fld id="{E5765E1C-7121-4A88-9D12-89C4725D3615}" type="CELLRANGE">
                      <a:rPr lang="en-US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14E-4805-97F8-3E10730CB325}"/>
                </c:ext>
              </c:extLst>
            </c:dLbl>
            <c:dLbl>
              <c:idx val="3"/>
              <c:layout>
                <c:manualLayout>
                  <c:x val="2.0019759144702928E-2"/>
                  <c:y val="-5.3872053872054178E-3"/>
                </c:manualLayout>
              </c:layout>
              <c:tx>
                <c:rich>
                  <a:bodyPr/>
                  <a:lstStyle/>
                  <a:p>
                    <a:fld id="{52403529-86F1-409D-A83A-DF9A6859288C}" type="CELLRANGE">
                      <a:rPr lang="en-US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14E-4805-97F8-3E10730CB325}"/>
                </c:ext>
              </c:extLst>
            </c:dLbl>
            <c:dLbl>
              <c:idx val="4"/>
              <c:layout>
                <c:manualLayout>
                  <c:x val="-7.0290006688419324E-2"/>
                  <c:y val="6.8301962254718046E-2"/>
                </c:manualLayout>
              </c:layout>
              <c:tx>
                <c:rich>
                  <a:bodyPr/>
                  <a:lstStyle/>
                  <a:p>
                    <a:fld id="{C6EB418E-DB80-41CE-A37A-B82E9E666146}" type="CELLRANGE">
                      <a:rPr lang="en-US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14E-4805-97F8-3E10730CB325}"/>
                </c:ext>
              </c:extLst>
            </c:dLbl>
            <c:dLbl>
              <c:idx val="5"/>
              <c:layout>
                <c:manualLayout>
                  <c:x val="3.46320303393442E-2"/>
                  <c:y val="-4.830917874396138E-2"/>
                </c:manualLayout>
              </c:layout>
              <c:tx>
                <c:rich>
                  <a:bodyPr/>
                  <a:lstStyle/>
                  <a:p>
                    <a:fld id="{07DE7ED5-FB7A-4E6F-BB9D-5E655C27A129}" type="CELLRANGE">
                      <a:rPr lang="en-US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C56-4DF2-A34F-F66FAE722D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chemeClr val="accent1">
                    <a:lumMod val="50000"/>
                  </a:schemeClr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'Curva de rendimientos'!$H$2:$H$7</c:f>
              <c:numCache>
                <c:formatCode>0.000</c:formatCode>
                <c:ptCount val="6"/>
                <c:pt idx="0">
                  <c:v>0.43611111111111112</c:v>
                </c:pt>
                <c:pt idx="1">
                  <c:v>0.93843283483802586</c:v>
                </c:pt>
                <c:pt idx="2">
                  <c:v>1.444986178618527</c:v>
                </c:pt>
                <c:pt idx="3">
                  <c:v>2.4169309383835529</c:v>
                </c:pt>
                <c:pt idx="4">
                  <c:v>3.8562491629358391</c:v>
                </c:pt>
                <c:pt idx="5">
                  <c:v>4.3006959147464654</c:v>
                </c:pt>
              </c:numCache>
            </c:numRef>
          </c:xVal>
          <c:yVal>
            <c:numRef>
              <c:f>'Curva de rendimientos'!$J$2:$J$7</c:f>
              <c:numCache>
                <c:formatCode>0.00%</c:formatCode>
                <c:ptCount val="6"/>
                <c:pt idx="0">
                  <c:v>2.4811835435989416E-2</c:v>
                </c:pt>
                <c:pt idx="1">
                  <c:v>2.9044186056923937E-2</c:v>
                </c:pt>
                <c:pt idx="2">
                  <c:v>3.3498109788018482E-2</c:v>
                </c:pt>
                <c:pt idx="3">
                  <c:v>4.57130715968046E-2</c:v>
                </c:pt>
                <c:pt idx="4">
                  <c:v>6.6032127737114532E-2</c:v>
                </c:pt>
                <c:pt idx="5">
                  <c:v>8.1566200064071115E-2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'Curva de rendimientos'!$B$2:$B$7</c15:f>
                <c15:dlblRangeCache>
                  <c:ptCount val="6"/>
                  <c:pt idx="0">
                    <c:v>TX22</c:v>
                  </c:pt>
                  <c:pt idx="1">
                    <c:v>T2X2</c:v>
                  </c:pt>
                  <c:pt idx="2">
                    <c:v>TX23</c:v>
                  </c:pt>
                  <c:pt idx="3">
                    <c:v>TX24</c:v>
                  </c:pt>
                  <c:pt idx="4">
                    <c:v>TX26</c:v>
                  </c:pt>
                  <c:pt idx="5">
                    <c:v>TX28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14E-4805-97F8-3E10730CB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7522703"/>
        <c:axId val="1987523951"/>
      </c:scatterChart>
      <c:valAx>
        <c:axId val="1987522703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2">
                        <a:lumMod val="50000"/>
                      </a:schemeClr>
                    </a:solidFill>
                  </a:rPr>
                  <a:t>DURACION (en años)</a:t>
                </a:r>
              </a:p>
            </c:rich>
          </c:tx>
          <c:layout>
            <c:manualLayout>
              <c:xMode val="edge"/>
              <c:yMode val="edge"/>
              <c:x val="0.44568924852135422"/>
              <c:y val="0.926175086695970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87523951"/>
        <c:crosses val="autoZero"/>
        <c:crossBetween val="midCat"/>
        <c:majorUnit val="0.25"/>
      </c:valAx>
      <c:valAx>
        <c:axId val="1987523951"/>
        <c:scaling>
          <c:orientation val="minMax"/>
          <c:max val="0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TIR N.A.</a:t>
                </a:r>
              </a:p>
            </c:rich>
          </c:tx>
          <c:layout>
            <c:manualLayout>
              <c:xMode val="edge"/>
              <c:yMode val="edge"/>
              <c:x val="0"/>
              <c:y val="5.649381442737032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87522703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800100</xdr:colOff>
      <xdr:row>0</xdr:row>
      <xdr:rowOff>133348</xdr:rowOff>
    </xdr:from>
    <xdr:to>
      <xdr:col>21</xdr:col>
      <xdr:colOff>361950</xdr:colOff>
      <xdr:row>14</xdr:row>
      <xdr:rowOff>123825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workbookViewId="0">
      <selection activeCell="E13" sqref="E13"/>
    </sheetView>
  </sheetViews>
  <sheetFormatPr baseColWidth="10" defaultRowHeight="15" x14ac:dyDescent="0.25"/>
  <cols>
    <col min="1" max="1" width="8.42578125" style="2" customWidth="1"/>
    <col min="2" max="2" width="12.85546875" style="2" customWidth="1"/>
    <col min="3" max="3" width="23.28515625" style="2" customWidth="1"/>
    <col min="4" max="4" width="16" style="2" customWidth="1"/>
    <col min="5" max="5" width="14.42578125" style="2" customWidth="1"/>
    <col min="6" max="6" width="13.7109375" style="2" customWidth="1"/>
    <col min="7" max="10" width="15.5703125" style="2" customWidth="1"/>
    <col min="11" max="11" width="16.28515625" style="2" customWidth="1"/>
    <col min="12" max="16384" width="11.42578125" style="2"/>
  </cols>
  <sheetData>
    <row r="1" spans="1:23" ht="24" customHeight="1" thickBot="1" x14ac:dyDescent="0.3">
      <c r="A1" s="1"/>
      <c r="B1" s="48" t="s">
        <v>13</v>
      </c>
      <c r="C1" s="49" t="s">
        <v>25</v>
      </c>
      <c r="D1" s="49" t="s">
        <v>17</v>
      </c>
      <c r="E1" s="49" t="s">
        <v>16</v>
      </c>
      <c r="F1" s="49" t="s">
        <v>23</v>
      </c>
      <c r="G1" s="49" t="s">
        <v>7</v>
      </c>
      <c r="H1" s="49" t="s">
        <v>6</v>
      </c>
      <c r="I1" s="49" t="s">
        <v>20</v>
      </c>
      <c r="J1" s="76" t="s">
        <v>8</v>
      </c>
      <c r="K1" s="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7.75" customHeight="1" x14ac:dyDescent="0.25">
      <c r="A2" s="1"/>
      <c r="B2" s="19" t="s">
        <v>30</v>
      </c>
      <c r="C2" s="70">
        <v>173.7</v>
      </c>
      <c r="D2" s="50">
        <f t="shared" ref="D2:D6" ca="1" si="0">+C2/(E2*100)*100</f>
        <v>174.65076710846725</v>
      </c>
      <c r="E2" s="74">
        <f ca="1">'TX22'!Q6</f>
        <v>0.99455618131996648</v>
      </c>
      <c r="F2" s="20">
        <f ca="1">'TX22'!N8</f>
        <v>0.43611111111111106</v>
      </c>
      <c r="G2" s="50">
        <f ca="1">'TX22'!N6</f>
        <v>0.43076705052665415</v>
      </c>
      <c r="H2" s="50">
        <f ca="1">'TX22'!N5</f>
        <v>0.43611111111111112</v>
      </c>
      <c r="I2" s="20">
        <f ca="1">'TX22'!N7/100</f>
        <v>5.9611747815517847E-3</v>
      </c>
      <c r="J2" s="21">
        <f ca="1">'TX22'!N4</f>
        <v>2.4811835435989416E-2</v>
      </c>
      <c r="K2" s="23"/>
      <c r="L2" s="1"/>
      <c r="T2" s="1"/>
    </row>
    <row r="3" spans="1:23" ht="27.75" customHeight="1" x14ac:dyDescent="0.25">
      <c r="A3" s="1"/>
      <c r="B3" s="19" t="s">
        <v>36</v>
      </c>
      <c r="C3" s="70">
        <v>164.4</v>
      </c>
      <c r="D3" s="50">
        <f t="shared" ca="1" si="0"/>
        <v>165.80811101068804</v>
      </c>
      <c r="E3" s="74">
        <f ca="1">T2X2!Q6</f>
        <v>0.99150758667893357</v>
      </c>
      <c r="F3" s="20">
        <f ca="1">T2X2!N8</f>
        <v>0.93847882949158079</v>
      </c>
      <c r="G3" s="50">
        <f ca="1">T2X2!N6</f>
        <v>0.92499990023548806</v>
      </c>
      <c r="H3" s="50">
        <f ca="1">T2X2!N5</f>
        <v>0.93843283483802586</v>
      </c>
      <c r="I3" s="20">
        <f ca="1">T2X2!N7/100</f>
        <v>1.718703458968791E-2</v>
      </c>
      <c r="J3" s="21">
        <f ca="1">T2X2!N4</f>
        <v>2.9044186056923937E-2</v>
      </c>
      <c r="K3" s="22"/>
      <c r="L3" s="1"/>
      <c r="T3" s="1"/>
    </row>
    <row r="4" spans="1:23" ht="27.75" customHeight="1" x14ac:dyDescent="0.25">
      <c r="A4" s="1"/>
      <c r="B4" s="19" t="s">
        <v>34</v>
      </c>
      <c r="C4" s="70">
        <v>169.2</v>
      </c>
      <c r="D4" s="50">
        <f t="shared" ca="1" si="0"/>
        <v>173.95797838042654</v>
      </c>
      <c r="E4" s="74">
        <f ca="1">'TX23'!Q6</f>
        <v>0.97264869122575459</v>
      </c>
      <c r="F4" s="20">
        <f ca="1">'TX23'!N8</f>
        <v>1.445271520296006</v>
      </c>
      <c r="G4" s="50">
        <f ca="1">'TX23'!N6</f>
        <v>1.4211827113713513</v>
      </c>
      <c r="H4" s="50">
        <f ca="1">'TX23'!N5</f>
        <v>1.444986178618527</v>
      </c>
      <c r="I4" s="20">
        <f ca="1">'TX23'!N7/100</f>
        <v>3.3136371311587108E-2</v>
      </c>
      <c r="J4" s="21">
        <f ca="1">'TX23'!N4</f>
        <v>3.3498109788018482E-2</v>
      </c>
      <c r="K4" s="22"/>
      <c r="L4" s="1"/>
      <c r="T4" s="1"/>
    </row>
    <row r="5" spans="1:23" ht="27.75" customHeight="1" x14ac:dyDescent="0.25">
      <c r="A5" s="1"/>
      <c r="B5" s="19" t="s">
        <v>32</v>
      </c>
      <c r="C5" s="70">
        <v>161.69999999999999</v>
      </c>
      <c r="D5" s="50">
        <f t="shared" ca="1" si="0"/>
        <v>173.96570503843404</v>
      </c>
      <c r="E5" s="74">
        <f ca="1">'TX24'!Q6</f>
        <v>0.92949354566335829</v>
      </c>
      <c r="F5" s="20">
        <f ca="1">'TX24'!N8</f>
        <v>2.4194109772423027</v>
      </c>
      <c r="G5" s="50">
        <f ca="1">'TX24'!N6</f>
        <v>2.3629227108540594</v>
      </c>
      <c r="H5" s="50">
        <f ca="1">'TX24'!N5</f>
        <v>2.4169309383835529</v>
      </c>
      <c r="I5" s="20">
        <f ca="1">'TX24'!N7/100</f>
        <v>7.5963861951420311E-2</v>
      </c>
      <c r="J5" s="21">
        <f ca="1">'TX24'!N4</f>
        <v>4.57130715968046E-2</v>
      </c>
      <c r="K5" s="22"/>
      <c r="L5" s="1"/>
      <c r="M5" s="1"/>
      <c r="N5" s="1"/>
      <c r="O5" s="1"/>
      <c r="P5" s="1"/>
      <c r="Q5" s="1"/>
      <c r="R5" s="1"/>
      <c r="S5" s="1"/>
      <c r="T5" s="1"/>
    </row>
    <row r="6" spans="1:23" ht="27.75" customHeight="1" x14ac:dyDescent="0.25">
      <c r="A6" s="1"/>
      <c r="B6" s="19" t="s">
        <v>31</v>
      </c>
      <c r="C6" s="70">
        <v>131.9</v>
      </c>
      <c r="D6" s="50">
        <f t="shared" ca="1" si="0"/>
        <v>157.11426603098556</v>
      </c>
      <c r="E6" s="74">
        <f ca="1">'TX26'!Q6</f>
        <v>0.8395163808612206</v>
      </c>
      <c r="F6" s="20">
        <f ca="1">'TX26'!N8</f>
        <v>3.9172273190621807</v>
      </c>
      <c r="G6" s="50">
        <f ca="1">'TX26'!N6</f>
        <v>3.7330001902337453</v>
      </c>
      <c r="H6" s="50">
        <f ca="1">'TX26'!N5</f>
        <v>3.8562491629358391</v>
      </c>
      <c r="I6" s="20">
        <f ca="1">+'TX26'!N7/100</f>
        <v>0.17304919512456138</v>
      </c>
      <c r="J6" s="21">
        <f ca="1">'TX26'!N4</f>
        <v>6.6032127737114532E-2</v>
      </c>
      <c r="K6" s="22"/>
      <c r="L6" s="1"/>
      <c r="M6" s="1"/>
      <c r="N6" s="1"/>
      <c r="O6" s="1"/>
      <c r="P6" s="1"/>
      <c r="Q6" s="1"/>
      <c r="R6" s="1"/>
      <c r="S6" s="1"/>
      <c r="T6" s="1"/>
    </row>
    <row r="7" spans="1:23" ht="27.75" customHeight="1" x14ac:dyDescent="0.25">
      <c r="A7" s="1"/>
      <c r="B7" s="19" t="s">
        <v>35</v>
      </c>
      <c r="C7" s="70">
        <v>124</v>
      </c>
      <c r="D7" s="50">
        <f ca="1">+C7/(E7*100)*100</f>
        <v>150.10147045092174</v>
      </c>
      <c r="E7" s="74">
        <f ca="1">'TX28'!Q6</f>
        <v>0.82610782977335295</v>
      </c>
      <c r="F7" s="20">
        <f ca="1">'TX28'!N8</f>
        <v>4.5365591397849458</v>
      </c>
      <c r="G7" s="50">
        <f ca="1">'TX28'!N6</f>
        <v>4.1321730864135757</v>
      </c>
      <c r="H7" s="50">
        <f ca="1">'TX28'!N5</f>
        <v>4.3006959147464654</v>
      </c>
      <c r="I7" s="20">
        <f ca="1">+'TX28'!N7/100</f>
        <v>0.20690209235028811</v>
      </c>
      <c r="J7" s="21">
        <f ca="1">'TX28'!N4</f>
        <v>8.1566200064071115E-2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3" ht="25.5" customHeight="1" thickBot="1" x14ac:dyDescent="0.3">
      <c r="A8" s="1"/>
      <c r="B8" s="18" t="s">
        <v>24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3" ht="24" customHeight="1" thickBot="1" x14ac:dyDescent="0.3">
      <c r="A9" s="1"/>
      <c r="B9" s="83" t="s">
        <v>27</v>
      </c>
      <c r="C9" s="84"/>
      <c r="D9" s="71">
        <v>35.380000000000003</v>
      </c>
      <c r="E9" s="1"/>
      <c r="F9" s="1"/>
      <c r="G9" s="1"/>
      <c r="H9" s="3"/>
      <c r="I9" s="1"/>
      <c r="J9" s="67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3" ht="19.5" customHeight="1" x14ac:dyDescent="0.25">
      <c r="A10" s="1"/>
      <c r="B10" s="65" t="s">
        <v>33</v>
      </c>
      <c r="C10" s="63"/>
      <c r="D10" s="63"/>
      <c r="E10" s="1"/>
      <c r="F10" s="1"/>
      <c r="G10" s="1"/>
      <c r="H10" s="1"/>
      <c r="I10" s="1"/>
      <c r="J10" s="67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3" ht="19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3" ht="19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3" ht="19.5" customHeight="1" x14ac:dyDescent="0.25">
      <c r="A13" s="1"/>
      <c r="B13" s="1"/>
      <c r="C13" s="1"/>
      <c r="D13" s="1"/>
      <c r="E13" s="1"/>
      <c r="F13" s="1"/>
      <c r="G13" s="1"/>
      <c r="H13" s="6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" x14ac:dyDescent="0.25">
      <c r="A17" s="1"/>
    </row>
  </sheetData>
  <mergeCells count="1">
    <mergeCell ref="B9:C9"/>
  </mergeCells>
  <dataValidations count="2">
    <dataValidation type="decimal" showInputMessage="1" showErrorMessage="1" sqref="C2 C4:C7">
      <formula1>0</formula1>
      <formula2>200</formula2>
    </dataValidation>
    <dataValidation type="decimal" allowBlank="1" showInputMessage="1" showErrorMessage="1" sqref="D9">
      <formula1>0</formula1>
      <formula2>200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G4" sqref="G4"/>
    </sheetView>
  </sheetViews>
  <sheetFormatPr baseColWidth="10" defaultRowHeight="15" x14ac:dyDescent="0.25"/>
  <cols>
    <col min="1" max="1" width="15.5703125" style="2" customWidth="1"/>
    <col min="2" max="2" width="16.5703125" style="2" customWidth="1"/>
    <col min="3" max="5" width="18.7109375" style="2" customWidth="1"/>
    <col min="6" max="8" width="20" style="2" customWidth="1"/>
    <col min="9" max="9" width="19.85546875" style="2" customWidth="1"/>
    <col min="10" max="10" width="25.85546875" style="2" customWidth="1"/>
    <col min="11" max="11" width="16" style="2" customWidth="1"/>
    <col min="12" max="12" width="4.7109375" style="2" customWidth="1"/>
    <col min="13" max="13" width="15.28515625" style="2" customWidth="1"/>
    <col min="14" max="14" width="16.28515625" style="2" customWidth="1"/>
    <col min="15" max="15" width="8.140625" style="2" customWidth="1"/>
    <col min="16" max="16" width="18" style="2" customWidth="1"/>
    <col min="17" max="17" width="13.85546875" style="2" customWidth="1"/>
    <col min="18" max="16384" width="11.42578125" style="2"/>
  </cols>
  <sheetData>
    <row r="1" spans="1:17" ht="27.75" customHeight="1" thickBot="1" x14ac:dyDescent="0.3">
      <c r="A1" s="4" t="s">
        <v>30</v>
      </c>
      <c r="B1" s="5" t="s">
        <v>10</v>
      </c>
      <c r="C1" s="5" t="s">
        <v>0</v>
      </c>
      <c r="D1" s="6" t="s">
        <v>1</v>
      </c>
      <c r="E1" s="6" t="s">
        <v>2</v>
      </c>
      <c r="F1" s="6" t="s">
        <v>3</v>
      </c>
      <c r="G1" s="6" t="s">
        <v>5</v>
      </c>
      <c r="H1" s="7" t="s">
        <v>11</v>
      </c>
      <c r="I1" s="7" t="s">
        <v>9</v>
      </c>
      <c r="J1" s="7" t="s">
        <v>18</v>
      </c>
      <c r="K1" s="7" t="s">
        <v>21</v>
      </c>
      <c r="L1" s="8"/>
      <c r="M1" s="1"/>
      <c r="N1" s="1"/>
      <c r="O1" s="1"/>
      <c r="P1" s="1"/>
      <c r="Q1" s="1"/>
    </row>
    <row r="2" spans="1:17" ht="18" customHeight="1" thickBot="1" x14ac:dyDescent="0.3">
      <c r="A2" s="9" t="s">
        <v>4</v>
      </c>
      <c r="B2" s="10"/>
      <c r="C2" s="11">
        <f ca="1">WORKDAY(TODAY(),2)</f>
        <v>44480</v>
      </c>
      <c r="D2" s="12"/>
      <c r="E2" s="12"/>
      <c r="F2" s="82">
        <f>-'Curva de rendimientos'!C2</f>
        <v>-173.7</v>
      </c>
      <c r="G2" s="13"/>
      <c r="H2" s="13"/>
      <c r="I2" s="1"/>
      <c r="J2" s="1"/>
      <c r="K2" s="1"/>
      <c r="L2" s="1"/>
      <c r="M2" s="14"/>
      <c r="N2" s="15"/>
      <c r="O2" s="1"/>
      <c r="P2" s="1"/>
      <c r="Q2" s="1"/>
    </row>
    <row r="3" spans="1:17" ht="18" customHeight="1" thickTop="1" thickBot="1" x14ac:dyDescent="0.35">
      <c r="A3" s="43">
        <v>1.2E-2</v>
      </c>
      <c r="B3" s="25">
        <f ca="1">DAYS360($C$2,C3)/360</f>
        <v>0.43611111111111112</v>
      </c>
      <c r="C3" s="26">
        <v>44638</v>
      </c>
      <c r="D3" s="27">
        <f>$A$3/360*DAYS360(Q3,C3)*($C$7-SUM(E2))</f>
        <v>1.0471018245852881</v>
      </c>
      <c r="E3" s="27">
        <f>C7</f>
        <v>174.51697076421468</v>
      </c>
      <c r="F3" s="68">
        <f>+D3+E3</f>
        <v>175.56407258879997</v>
      </c>
      <c r="G3" s="68">
        <f ca="1">F3/((1+$O$4)^(B3))</f>
        <v>173.6861466463657</v>
      </c>
      <c r="H3" s="60">
        <f ca="1">+G3/$G$4</f>
        <v>1</v>
      </c>
      <c r="I3" s="27">
        <f ca="1">+H3*B3</f>
        <v>0.43611111111111112</v>
      </c>
      <c r="J3" s="27">
        <f ca="1">G3*B3*(1+B3)</f>
        <v>108.78033053347883</v>
      </c>
      <c r="K3" s="27">
        <f ca="1">(B3*F3)/$F$4</f>
        <v>0.43611111111111106</v>
      </c>
      <c r="L3" s="1"/>
      <c r="M3" s="29" t="s">
        <v>14</v>
      </c>
      <c r="N3" s="30">
        <f>'Curva de rendimientos'!C2</f>
        <v>173.7</v>
      </c>
      <c r="O3" s="79"/>
      <c r="P3" s="29" t="s">
        <v>29</v>
      </c>
      <c r="Q3" s="32">
        <v>44457</v>
      </c>
    </row>
    <row r="4" spans="1:17" ht="18" customHeight="1" thickBot="1" x14ac:dyDescent="0.3">
      <c r="A4" s="51"/>
      <c r="B4" s="31"/>
      <c r="C4" s="31"/>
      <c r="D4" s="31"/>
      <c r="E4" s="31"/>
      <c r="F4" s="62">
        <f>SUM(F3)</f>
        <v>175.56407258879997</v>
      </c>
      <c r="G4" s="81">
        <f ca="1">SUM(G3)</f>
        <v>173.6861466463657</v>
      </c>
      <c r="H4" s="61">
        <f ca="1">SUM(H3)</f>
        <v>1</v>
      </c>
      <c r="I4" s="44">
        <f ca="1">SUM(I3)</f>
        <v>0.43611111111111112</v>
      </c>
      <c r="J4" s="45">
        <f ca="1">SUM(J3)/((1+O4)^2)</f>
        <v>103.54560595555449</v>
      </c>
      <c r="K4" s="46">
        <f ca="1">SUM(K3)</f>
        <v>0.43611111111111106</v>
      </c>
      <c r="L4" s="27"/>
      <c r="M4" s="29" t="s">
        <v>12</v>
      </c>
      <c r="N4" s="33">
        <f ca="1">((1+O4)^(1/2)-1)*2</f>
        <v>2.4811835435989416E-2</v>
      </c>
      <c r="O4" s="34">
        <f ca="1">XIRR(F2:F3,C2:C3)</f>
        <v>2.4965742230415342E-2</v>
      </c>
      <c r="P4" s="29" t="s">
        <v>15</v>
      </c>
      <c r="Q4" s="35">
        <f ca="1">(D3/DAYS360(Q3,C3))*DAYS360(Q3,C2)</f>
        <v>0.13379634425256459</v>
      </c>
    </row>
    <row r="5" spans="1:17" ht="18" customHeight="1" thickBot="1" x14ac:dyDescent="0.35">
      <c r="A5" s="85" t="s">
        <v>26</v>
      </c>
      <c r="B5" s="86"/>
      <c r="C5" s="57">
        <v>20.273099999999999</v>
      </c>
      <c r="D5" s="52"/>
      <c r="E5" s="52"/>
      <c r="F5" s="52"/>
      <c r="G5" s="52"/>
      <c r="H5" s="52"/>
      <c r="I5" s="52"/>
      <c r="J5" s="52"/>
      <c r="K5" s="52"/>
      <c r="L5" s="27"/>
      <c r="M5" s="29" t="s">
        <v>6</v>
      </c>
      <c r="N5" s="36">
        <f ca="1">I4</f>
        <v>0.43611111111111112</v>
      </c>
      <c r="O5" s="31"/>
      <c r="P5" s="29" t="s">
        <v>17</v>
      </c>
      <c r="Q5" s="30">
        <f ca="1">(C7-SUM(E2:E2))+Q4</f>
        <v>174.65076710846725</v>
      </c>
    </row>
    <row r="6" spans="1:17" ht="21" customHeight="1" thickBot="1" x14ac:dyDescent="0.35">
      <c r="A6" s="87" t="s">
        <v>27</v>
      </c>
      <c r="B6" s="88"/>
      <c r="C6" s="58">
        <f>'Curva de rendimientos'!D9</f>
        <v>35.380000000000003</v>
      </c>
      <c r="D6" s="52"/>
      <c r="E6" s="52"/>
      <c r="F6" s="52"/>
      <c r="G6" s="52"/>
      <c r="H6" s="52"/>
      <c r="I6" s="52"/>
      <c r="J6" s="52"/>
      <c r="K6" s="52"/>
      <c r="L6" s="27"/>
      <c r="M6" s="29" t="s">
        <v>7</v>
      </c>
      <c r="N6" s="37">
        <f ca="1">N5/(1+N4/2)</f>
        <v>0.43076705052665415</v>
      </c>
      <c r="O6" s="31"/>
      <c r="P6" s="29" t="s">
        <v>16</v>
      </c>
      <c r="Q6" s="38">
        <f ca="1">N3/Q5</f>
        <v>0.99455618131996648</v>
      </c>
    </row>
    <row r="7" spans="1:17" ht="21" customHeight="1" thickBot="1" x14ac:dyDescent="0.35">
      <c r="A7" s="89" t="s">
        <v>28</v>
      </c>
      <c r="B7" s="90"/>
      <c r="C7" s="59">
        <f>100*(1+(C6/C5-1))</f>
        <v>174.51697076421468</v>
      </c>
      <c r="D7" s="52"/>
      <c r="E7" s="52"/>
      <c r="F7" s="52"/>
      <c r="G7" s="52"/>
      <c r="H7" s="52"/>
      <c r="I7" s="52"/>
      <c r="J7" s="52"/>
      <c r="K7" s="52"/>
      <c r="L7" s="27"/>
      <c r="M7" s="29" t="s">
        <v>19</v>
      </c>
      <c r="N7" s="37">
        <f ca="1">J4/N3</f>
        <v>0.59611747815517846</v>
      </c>
      <c r="O7" s="31"/>
      <c r="P7" s="31"/>
      <c r="Q7" s="31"/>
    </row>
    <row r="8" spans="1:17" ht="21" customHeight="1" thickBot="1" x14ac:dyDescent="0.3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27"/>
      <c r="M8" s="29" t="s">
        <v>22</v>
      </c>
      <c r="N8" s="37">
        <f ca="1">K4</f>
        <v>0.43611111111111106</v>
      </c>
      <c r="O8" s="31"/>
      <c r="P8" s="31"/>
      <c r="Q8" s="31"/>
    </row>
    <row r="9" spans="1:17" ht="18" customHeight="1" x14ac:dyDescent="0.3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27"/>
      <c r="M9" s="39"/>
      <c r="N9" s="40"/>
      <c r="O9" s="31"/>
      <c r="P9" s="31"/>
      <c r="Q9" s="31"/>
    </row>
    <row r="10" spans="1:17" ht="18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27"/>
      <c r="M10" s="41"/>
      <c r="N10" s="42"/>
      <c r="O10" s="31"/>
      <c r="P10" s="31"/>
      <c r="Q10" s="31"/>
    </row>
    <row r="11" spans="1:17" ht="18" customHeight="1" x14ac:dyDescent="0.25">
      <c r="A11" s="51"/>
      <c r="B11" s="52"/>
      <c r="C11" s="52"/>
      <c r="D11" s="52"/>
      <c r="E11" s="55"/>
      <c r="F11" s="52"/>
      <c r="G11" s="52"/>
      <c r="H11" s="52"/>
      <c r="I11" s="52"/>
      <c r="J11" s="52"/>
      <c r="K11" s="52"/>
      <c r="L11" s="27"/>
      <c r="M11" s="41"/>
      <c r="N11" s="42"/>
      <c r="O11" s="31"/>
      <c r="P11" s="31"/>
      <c r="Q11" s="31"/>
    </row>
    <row r="12" spans="1:17" ht="18" customHeight="1" x14ac:dyDescent="0.25">
      <c r="A12" s="51"/>
      <c r="B12" s="52"/>
      <c r="C12" s="56"/>
      <c r="D12" s="54"/>
      <c r="E12" s="52"/>
      <c r="F12" s="52"/>
      <c r="G12" s="52"/>
      <c r="H12" s="52"/>
      <c r="I12" s="52"/>
      <c r="J12" s="52"/>
      <c r="K12" s="52"/>
      <c r="L12" s="27"/>
      <c r="M12" s="41"/>
      <c r="N12" s="42"/>
      <c r="O12" s="31"/>
      <c r="P12" s="31"/>
      <c r="Q12" s="31"/>
    </row>
    <row r="13" spans="1:17" ht="18" customHeight="1" x14ac:dyDescent="0.25">
      <c r="A13" s="51"/>
      <c r="B13" s="56"/>
      <c r="C13" s="52"/>
      <c r="D13" s="52"/>
      <c r="E13" s="52"/>
      <c r="F13" s="52"/>
      <c r="G13" s="52"/>
      <c r="H13" s="52"/>
      <c r="I13" s="52"/>
      <c r="J13" s="52"/>
      <c r="K13" s="52"/>
      <c r="L13" s="27"/>
      <c r="M13" s="41"/>
      <c r="N13" s="42"/>
      <c r="O13" s="31"/>
      <c r="P13" s="31"/>
      <c r="Q13" s="31"/>
    </row>
    <row r="14" spans="1:17" ht="18" customHeight="1" x14ac:dyDescent="0.25">
      <c r="A14" s="51"/>
      <c r="B14" s="52"/>
      <c r="C14" s="73"/>
      <c r="D14" s="72"/>
      <c r="E14" s="52"/>
      <c r="F14" s="52"/>
      <c r="G14" s="52"/>
      <c r="H14" s="52"/>
      <c r="I14" s="52"/>
      <c r="J14" s="52"/>
      <c r="K14" s="52"/>
      <c r="L14" s="27"/>
      <c r="M14" s="41"/>
      <c r="N14" s="42"/>
      <c r="O14" s="31"/>
      <c r="P14" s="31"/>
      <c r="Q14" s="31"/>
    </row>
    <row r="15" spans="1:17" ht="18" customHeight="1" x14ac:dyDescent="0.2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27"/>
      <c r="M15" s="41"/>
      <c r="N15" s="42"/>
      <c r="O15" s="31"/>
      <c r="P15" s="31"/>
      <c r="Q15" s="31"/>
    </row>
    <row r="16" spans="1:17" ht="18" customHeight="1" x14ac:dyDescent="0.2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27"/>
      <c r="M16" s="41"/>
      <c r="N16" s="42"/>
      <c r="O16" s="31"/>
      <c r="P16" s="31"/>
      <c r="Q16" s="31"/>
    </row>
    <row r="17" spans="1:17" ht="18" customHeight="1" x14ac:dyDescent="0.2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27"/>
      <c r="M17" s="41"/>
      <c r="N17" s="42"/>
      <c r="O17" s="31"/>
      <c r="P17" s="31"/>
      <c r="Q17" s="31"/>
    </row>
    <row r="18" spans="1:17" ht="18" customHeight="1" x14ac:dyDescent="0.2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27"/>
      <c r="M18" s="41"/>
      <c r="N18" s="42"/>
      <c r="O18" s="31"/>
      <c r="P18" s="31"/>
      <c r="Q18" s="31"/>
    </row>
    <row r="19" spans="1:17" ht="18" customHeight="1" x14ac:dyDescent="0.25">
      <c r="A19" s="53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27"/>
      <c r="M19" s="41"/>
      <c r="N19" s="42"/>
      <c r="O19" s="31"/>
      <c r="P19" s="31"/>
      <c r="Q19" s="31"/>
    </row>
    <row r="20" spans="1:17" ht="18" customHeight="1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27"/>
      <c r="M20" s="41"/>
      <c r="N20" s="42"/>
      <c r="O20" s="31"/>
      <c r="P20" s="31"/>
      <c r="Q20" s="31"/>
    </row>
    <row r="21" spans="1:17" ht="18" customHeight="1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47"/>
      <c r="M21" s="16"/>
      <c r="N21" s="17"/>
      <c r="O21" s="1"/>
      <c r="P21" s="1"/>
      <c r="Q21" s="1"/>
    </row>
    <row r="22" spans="1:17" ht="15.75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1"/>
      <c r="M22" s="16"/>
      <c r="N22" s="17"/>
      <c r="O22" s="1"/>
      <c r="P22" s="1"/>
      <c r="Q22" s="1"/>
    </row>
    <row r="23" spans="1:17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"/>
    </row>
    <row r="24" spans="1:17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7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7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7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7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7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7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7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7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x14ac:dyDescent="0.25">
      <c r="D35" s="52"/>
      <c r="E35" s="52"/>
      <c r="F35" s="52"/>
      <c r="G35" s="52"/>
      <c r="H35" s="52"/>
      <c r="I35" s="52"/>
      <c r="J35" s="52"/>
      <c r="K35" s="52"/>
    </row>
  </sheetData>
  <mergeCells count="3">
    <mergeCell ref="A5:B5"/>
    <mergeCell ref="A6:B6"/>
    <mergeCell ref="A7:B7"/>
  </mergeCells>
  <pageMargins left="0.7" right="0.7" top="0.75" bottom="0.75" header="0.3" footer="0.3"/>
  <pageSetup paperSize="9" orientation="portrait" r:id="rId1"/>
  <ignoredErrors>
    <ignoredError sqref="O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C1" workbookViewId="0">
      <selection activeCell="F2" sqref="F2"/>
    </sheetView>
  </sheetViews>
  <sheetFormatPr baseColWidth="10" defaultRowHeight="15" x14ac:dyDescent="0.25"/>
  <cols>
    <col min="1" max="1" width="15.5703125" style="2" customWidth="1"/>
    <col min="2" max="2" width="16.5703125" style="2" customWidth="1"/>
    <col min="3" max="5" width="18.7109375" style="2" customWidth="1"/>
    <col min="6" max="8" width="20" style="2" customWidth="1"/>
    <col min="9" max="9" width="19.85546875" style="2" customWidth="1"/>
    <col min="10" max="10" width="25.85546875" style="2" customWidth="1"/>
    <col min="11" max="11" width="16" style="2" customWidth="1"/>
    <col min="12" max="12" width="4.7109375" style="2" customWidth="1"/>
    <col min="13" max="13" width="15.28515625" style="2" customWidth="1"/>
    <col min="14" max="14" width="16.28515625" style="2" customWidth="1"/>
    <col min="15" max="15" width="8.140625" style="2" customWidth="1"/>
    <col min="16" max="16" width="18" style="2" customWidth="1"/>
    <col min="17" max="17" width="13.85546875" style="2" customWidth="1"/>
    <col min="18" max="16384" width="11.42578125" style="2"/>
  </cols>
  <sheetData>
    <row r="1" spans="1:17" ht="27.75" customHeight="1" thickBot="1" x14ac:dyDescent="0.3">
      <c r="A1" s="4" t="s">
        <v>36</v>
      </c>
      <c r="B1" s="5" t="s">
        <v>10</v>
      </c>
      <c r="C1" s="5" t="s">
        <v>0</v>
      </c>
      <c r="D1" s="6" t="s">
        <v>1</v>
      </c>
      <c r="E1" s="6" t="s">
        <v>2</v>
      </c>
      <c r="F1" s="6" t="s">
        <v>3</v>
      </c>
      <c r="G1" s="6" t="s">
        <v>5</v>
      </c>
      <c r="H1" s="7" t="s">
        <v>11</v>
      </c>
      <c r="I1" s="7" t="s">
        <v>9</v>
      </c>
      <c r="J1" s="7" t="s">
        <v>18</v>
      </c>
      <c r="K1" s="7" t="s">
        <v>21</v>
      </c>
      <c r="L1" s="8"/>
      <c r="M1" s="1"/>
      <c r="N1" s="1"/>
      <c r="O1" s="1"/>
      <c r="P1" s="1"/>
      <c r="Q1" s="1"/>
    </row>
    <row r="2" spans="1:17" ht="18" customHeight="1" thickBot="1" x14ac:dyDescent="0.3">
      <c r="A2" s="9" t="s">
        <v>4</v>
      </c>
      <c r="B2" s="10"/>
      <c r="C2" s="11">
        <f ca="1">WORKDAY(TODAY(),2)</f>
        <v>44480</v>
      </c>
      <c r="D2" s="12"/>
      <c r="E2" s="12"/>
      <c r="F2" s="66">
        <f>-'Curva de rendimientos'!C3</f>
        <v>-164.4</v>
      </c>
      <c r="G2" s="13"/>
      <c r="H2" s="13"/>
      <c r="I2" s="1"/>
      <c r="J2" s="1"/>
      <c r="K2" s="1"/>
      <c r="L2" s="1"/>
      <c r="M2" s="14"/>
      <c r="N2" s="15"/>
      <c r="O2" s="1"/>
      <c r="P2" s="1"/>
      <c r="Q2" s="1"/>
    </row>
    <row r="3" spans="1:17" ht="18" customHeight="1" thickTop="1" thickBot="1" x14ac:dyDescent="0.35">
      <c r="A3" s="43">
        <v>1.2999999999999999E-2</v>
      </c>
      <c r="B3" s="25">
        <f ca="1">DAYS360($C$2,C3)/360</f>
        <v>0.44166666666666665</v>
      </c>
      <c r="C3" s="26">
        <v>44640</v>
      </c>
      <c r="D3" s="27">
        <f>$A$3/360*DAYS360($Q$3,C3)*($C$8-SUM(E2:E2))</f>
        <v>1.0769360450686285</v>
      </c>
      <c r="E3" s="13"/>
      <c r="F3" s="27">
        <f>+D3+E3</f>
        <v>1.0769360450686285</v>
      </c>
      <c r="G3" s="68">
        <f ca="1">F3/((1+$O$4)^(B3))</f>
        <v>1.0633075887670946</v>
      </c>
      <c r="H3" s="60">
        <f ca="1">+G3/$G$5</f>
        <v>6.4676636572815124E-3</v>
      </c>
      <c r="I3" s="27">
        <f ca="1">+H3*B3</f>
        <v>2.856551448632668E-3</v>
      </c>
      <c r="J3" s="27">
        <f ca="1">G3*B3*(1+B3)</f>
        <v>0.67704633898649236</v>
      </c>
      <c r="K3" s="27">
        <f ca="1">(B3*F3)/$F$5</f>
        <v>2.8159228379924794E-3</v>
      </c>
      <c r="L3" s="1"/>
      <c r="M3" s="29" t="s">
        <v>14</v>
      </c>
      <c r="N3" s="30">
        <f>'Curva de rendimientos'!C3</f>
        <v>164.4</v>
      </c>
      <c r="O3" s="31"/>
      <c r="P3" s="29" t="s">
        <v>29</v>
      </c>
      <c r="Q3" s="32">
        <v>44459</v>
      </c>
    </row>
    <row r="4" spans="1:17" ht="18" customHeight="1" thickBot="1" x14ac:dyDescent="0.3">
      <c r="A4" s="24"/>
      <c r="B4" s="25">
        <f ca="1">DAYS360($C$2,C4)/360</f>
        <v>0.94166666666666665</v>
      </c>
      <c r="C4" s="26">
        <v>44824</v>
      </c>
      <c r="D4" s="27">
        <f>$A$3/360*DAYS360($Q$3,C4)*($C$8-SUM(E3:E3))</f>
        <v>2.153872090137257</v>
      </c>
      <c r="E4" s="27">
        <f>C8</f>
        <v>165.6824684720967</v>
      </c>
      <c r="F4" s="68">
        <f>+D4+E4</f>
        <v>167.83634056223397</v>
      </c>
      <c r="G4" s="68">
        <f ca="1">F4/((1+$O$4)^(B4))</f>
        <v>163.34035424512982</v>
      </c>
      <c r="H4" s="60">
        <f ca="1">+G4/$G$5</f>
        <v>0.99353233634271854</v>
      </c>
      <c r="I4" s="27">
        <f ca="1">+H4*B4</f>
        <v>0.93557628338939325</v>
      </c>
      <c r="J4" s="27">
        <f ca="1">G4*B4*(1+B4)</f>
        <v>298.65195742500157</v>
      </c>
      <c r="K4" s="27">
        <f ca="1">(B4*F4)/$F$5</f>
        <v>0.93566290665358831</v>
      </c>
      <c r="L4" s="1"/>
      <c r="M4" s="29" t="s">
        <v>12</v>
      </c>
      <c r="N4" s="33">
        <f ca="1">((1+O4)^(1/2)-1)*2</f>
        <v>2.9044186056923937E-2</v>
      </c>
      <c r="O4" s="34">
        <f ca="1">XIRR(F2:F4,C2:C4)</f>
        <v>2.9255077242851254E-2</v>
      </c>
      <c r="P4" s="29" t="s">
        <v>15</v>
      </c>
      <c r="Q4" s="35">
        <f ca="1">(D3/DAYS360(Q3,C3))*DAYS360(Q3,C2)</f>
        <v>0.12564253859133998</v>
      </c>
    </row>
    <row r="5" spans="1:17" ht="18" customHeight="1" thickBot="1" x14ac:dyDescent="0.35">
      <c r="A5" s="51"/>
      <c r="B5" s="31"/>
      <c r="C5" s="31"/>
      <c r="D5" s="31"/>
      <c r="E5" s="31"/>
      <c r="F5" s="62">
        <f>SUM(F3:F4)</f>
        <v>168.91327660730261</v>
      </c>
      <c r="G5" s="81">
        <f ca="1">SUM(G3:G4)</f>
        <v>164.4036618338969</v>
      </c>
      <c r="H5" s="61">
        <f ca="1">SUM(H3:H4)</f>
        <v>1</v>
      </c>
      <c r="I5" s="44">
        <f ca="1">SUM(I3:I4)</f>
        <v>0.93843283483802586</v>
      </c>
      <c r="J5" s="45">
        <f ca="1">SUM(J3:J4)/((1+O4)^2)</f>
        <v>282.55484865446925</v>
      </c>
      <c r="K5" s="46">
        <f ca="1">SUM(K3:K4)</f>
        <v>0.93847882949158079</v>
      </c>
      <c r="L5" s="27"/>
      <c r="M5" s="29" t="s">
        <v>6</v>
      </c>
      <c r="N5" s="36">
        <f ca="1">I5</f>
        <v>0.93843283483802586</v>
      </c>
      <c r="O5" s="31"/>
      <c r="P5" s="29" t="s">
        <v>17</v>
      </c>
      <c r="Q5" s="30">
        <f ca="1">(C8-SUM(E2:E2))+Q4</f>
        <v>165.80811101068804</v>
      </c>
    </row>
    <row r="6" spans="1:17" ht="18" customHeight="1" thickBot="1" x14ac:dyDescent="0.35">
      <c r="A6" s="91" t="s">
        <v>26</v>
      </c>
      <c r="B6" s="92"/>
      <c r="C6" s="77">
        <v>21.354099999999999</v>
      </c>
      <c r="D6" s="52"/>
      <c r="E6" s="52"/>
      <c r="F6" s="52"/>
      <c r="G6" s="52"/>
      <c r="H6" s="52"/>
      <c r="I6" s="52"/>
      <c r="J6" s="52"/>
      <c r="K6" s="52"/>
      <c r="L6" s="27"/>
      <c r="M6" s="29" t="s">
        <v>7</v>
      </c>
      <c r="N6" s="37">
        <f ca="1">N5/(1+N4/2)</f>
        <v>0.92499990023548806</v>
      </c>
      <c r="O6" s="31"/>
      <c r="P6" s="29" t="s">
        <v>16</v>
      </c>
      <c r="Q6" s="38">
        <f ca="1">N3/Q5</f>
        <v>0.99150758667893357</v>
      </c>
    </row>
    <row r="7" spans="1:17" ht="18.75" customHeight="1" thickBot="1" x14ac:dyDescent="0.35">
      <c r="A7" s="93" t="s">
        <v>27</v>
      </c>
      <c r="B7" s="94"/>
      <c r="C7" s="78">
        <f>'Curva de rendimientos'!D9</f>
        <v>35.380000000000003</v>
      </c>
      <c r="D7" s="52"/>
      <c r="E7" s="52"/>
      <c r="F7" s="52"/>
      <c r="G7" s="52"/>
      <c r="H7" s="52"/>
      <c r="I7" s="52"/>
      <c r="J7" s="52"/>
      <c r="K7" s="52"/>
      <c r="L7" s="27"/>
      <c r="M7" s="29" t="s">
        <v>19</v>
      </c>
      <c r="N7" s="37">
        <f ca="1">J5/N3</f>
        <v>1.7187034589687911</v>
      </c>
      <c r="O7" s="31"/>
      <c r="P7" s="31"/>
      <c r="Q7" s="31"/>
    </row>
    <row r="8" spans="1:17" ht="18.75" customHeight="1" thickBot="1" x14ac:dyDescent="0.35">
      <c r="A8" s="95" t="s">
        <v>28</v>
      </c>
      <c r="B8" s="96"/>
      <c r="C8" s="59">
        <f>100*(1+(C7/C6-1))</f>
        <v>165.6824684720967</v>
      </c>
      <c r="D8" s="52"/>
      <c r="E8" s="52"/>
      <c r="F8" s="52"/>
      <c r="G8" s="52"/>
      <c r="H8" s="52"/>
      <c r="I8" s="52"/>
      <c r="J8" s="52"/>
      <c r="K8" s="52"/>
      <c r="L8" s="27"/>
      <c r="M8" s="29" t="s">
        <v>22</v>
      </c>
      <c r="N8" s="37">
        <f ca="1">K5</f>
        <v>0.93847882949158079</v>
      </c>
      <c r="O8" s="31"/>
      <c r="P8" s="31"/>
      <c r="Q8" s="31"/>
    </row>
    <row r="9" spans="1:17" ht="18.75" customHeight="1" x14ac:dyDescent="0.3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27"/>
      <c r="M9" s="39"/>
      <c r="N9" s="40"/>
      <c r="O9" s="31"/>
      <c r="P9" s="31"/>
      <c r="Q9" s="31"/>
    </row>
    <row r="10" spans="1:17" ht="18" customHeight="1" x14ac:dyDescent="0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27"/>
      <c r="M10" s="41"/>
      <c r="N10" s="42"/>
      <c r="O10" s="31"/>
      <c r="P10" s="31"/>
      <c r="Q10" s="31"/>
    </row>
    <row r="11" spans="1:17" ht="18" customHeight="1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27"/>
      <c r="M11" s="41"/>
      <c r="N11" s="42"/>
      <c r="O11" s="31"/>
      <c r="P11" s="31"/>
      <c r="Q11" s="31"/>
    </row>
    <row r="12" spans="1:17" ht="18" customHeight="1" x14ac:dyDescent="0.2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27"/>
      <c r="M12" s="41"/>
      <c r="N12" s="42"/>
      <c r="O12" s="31"/>
      <c r="P12" s="31"/>
      <c r="Q12" s="31"/>
    </row>
    <row r="13" spans="1:17" ht="18" customHeight="1" x14ac:dyDescent="0.25">
      <c r="A13" s="51"/>
      <c r="B13" s="52"/>
      <c r="C13" s="52"/>
      <c r="D13" s="54"/>
      <c r="E13" s="52"/>
      <c r="F13" s="52"/>
      <c r="G13" s="52"/>
      <c r="H13" s="52"/>
      <c r="I13" s="52"/>
      <c r="J13" s="52"/>
      <c r="K13" s="52"/>
      <c r="L13" s="27"/>
      <c r="M13" s="41"/>
      <c r="N13" s="42"/>
      <c r="O13" s="31"/>
      <c r="P13" s="31"/>
      <c r="Q13" s="31"/>
    </row>
    <row r="14" spans="1:17" ht="18" customHeight="1" x14ac:dyDescent="0.25">
      <c r="A14" s="51"/>
      <c r="B14" s="56"/>
      <c r="C14" s="52"/>
      <c r="D14" s="75"/>
      <c r="E14" s="52"/>
      <c r="F14" s="52"/>
      <c r="G14" s="52"/>
      <c r="H14" s="52"/>
      <c r="I14" s="52"/>
      <c r="J14" s="52"/>
      <c r="K14" s="52"/>
      <c r="L14" s="27"/>
      <c r="M14" s="41"/>
      <c r="N14" s="42"/>
      <c r="O14" s="31"/>
      <c r="P14" s="31"/>
      <c r="Q14" s="31"/>
    </row>
    <row r="15" spans="1:17" ht="18" customHeight="1" x14ac:dyDescent="0.25">
      <c r="A15" s="51"/>
      <c r="B15" s="52"/>
      <c r="C15" s="52"/>
      <c r="D15" s="55"/>
      <c r="E15" s="52"/>
      <c r="F15" s="52"/>
      <c r="G15" s="52"/>
      <c r="H15" s="52"/>
      <c r="I15" s="52"/>
      <c r="J15" s="52"/>
      <c r="K15" s="52"/>
      <c r="L15" s="27"/>
      <c r="M15" s="41"/>
      <c r="N15" s="42"/>
      <c r="O15" s="31"/>
      <c r="P15" s="31"/>
      <c r="Q15" s="31"/>
    </row>
    <row r="16" spans="1:17" ht="18" customHeight="1" x14ac:dyDescent="0.2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27"/>
      <c r="M16" s="41"/>
      <c r="N16" s="42"/>
      <c r="O16" s="31"/>
      <c r="P16" s="31"/>
      <c r="Q16" s="31"/>
    </row>
    <row r="17" spans="1:17" ht="18" customHeight="1" x14ac:dyDescent="0.2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27"/>
      <c r="M17" s="41"/>
      <c r="N17" s="42"/>
      <c r="O17" s="31"/>
      <c r="P17" s="31"/>
      <c r="Q17" s="31"/>
    </row>
    <row r="18" spans="1:17" ht="18" customHeight="1" x14ac:dyDescent="0.2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27"/>
      <c r="M18" s="41"/>
      <c r="N18" s="42"/>
      <c r="O18" s="31"/>
      <c r="P18" s="31"/>
      <c r="Q18" s="31"/>
    </row>
    <row r="19" spans="1:17" ht="18" customHeight="1" x14ac:dyDescent="0.2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27"/>
      <c r="M19" s="41"/>
      <c r="N19" s="42"/>
      <c r="O19" s="31"/>
      <c r="P19" s="31"/>
      <c r="Q19" s="31"/>
    </row>
    <row r="20" spans="1:17" ht="18" customHeight="1" x14ac:dyDescent="0.25">
      <c r="A20" s="5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27"/>
      <c r="M20" s="41"/>
      <c r="N20" s="42"/>
      <c r="O20" s="31"/>
      <c r="P20" s="31"/>
      <c r="Q20" s="31"/>
    </row>
    <row r="21" spans="1:17" ht="18" customHeight="1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27"/>
      <c r="M21" s="16"/>
      <c r="N21" s="17"/>
      <c r="O21" s="1"/>
      <c r="P21" s="1"/>
      <c r="Q21" s="1"/>
    </row>
    <row r="22" spans="1:17" ht="18" customHeight="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47"/>
      <c r="M22" s="16"/>
      <c r="N22" s="17"/>
      <c r="O22" s="1"/>
      <c r="P22" s="1"/>
      <c r="Q22" s="1"/>
    </row>
    <row r="23" spans="1:17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"/>
    </row>
    <row r="24" spans="1:17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1"/>
    </row>
    <row r="25" spans="1:17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7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7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7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7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7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7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7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6" spans="1:11" x14ac:dyDescent="0.25">
      <c r="D36" s="52"/>
      <c r="E36" s="52"/>
      <c r="F36" s="52"/>
      <c r="G36" s="52"/>
      <c r="H36" s="52"/>
      <c r="I36" s="52"/>
      <c r="J36" s="52"/>
      <c r="K36" s="52"/>
    </row>
  </sheetData>
  <mergeCells count="3">
    <mergeCell ref="A6:B6"/>
    <mergeCell ref="A7:B7"/>
    <mergeCell ref="A8:B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A6" sqref="A6"/>
    </sheetView>
  </sheetViews>
  <sheetFormatPr baseColWidth="10" defaultRowHeight="15" x14ac:dyDescent="0.25"/>
  <cols>
    <col min="1" max="1" width="15.5703125" style="2" customWidth="1"/>
    <col min="2" max="2" width="16.5703125" style="2" customWidth="1"/>
    <col min="3" max="5" width="18.7109375" style="2" customWidth="1"/>
    <col min="6" max="8" width="20" style="2" customWidth="1"/>
    <col min="9" max="9" width="19.85546875" style="2" customWidth="1"/>
    <col min="10" max="10" width="25.85546875" style="2" customWidth="1"/>
    <col min="11" max="11" width="16" style="2" customWidth="1"/>
    <col min="12" max="12" width="4.7109375" style="2" customWidth="1"/>
    <col min="13" max="13" width="15.28515625" style="2" customWidth="1"/>
    <col min="14" max="14" width="16.28515625" style="2" customWidth="1"/>
    <col min="15" max="15" width="8.140625" style="2" customWidth="1"/>
    <col min="16" max="16" width="18" style="2" customWidth="1"/>
    <col min="17" max="17" width="13.85546875" style="2" customWidth="1"/>
    <col min="18" max="16384" width="11.42578125" style="2"/>
  </cols>
  <sheetData>
    <row r="1" spans="1:17" ht="27.75" customHeight="1" thickBot="1" x14ac:dyDescent="0.3">
      <c r="A1" s="4" t="s">
        <v>34</v>
      </c>
      <c r="B1" s="5" t="s">
        <v>10</v>
      </c>
      <c r="C1" s="5" t="s">
        <v>0</v>
      </c>
      <c r="D1" s="6" t="s">
        <v>1</v>
      </c>
      <c r="E1" s="6" t="s">
        <v>2</v>
      </c>
      <c r="F1" s="6" t="s">
        <v>3</v>
      </c>
      <c r="G1" s="6" t="s">
        <v>5</v>
      </c>
      <c r="H1" s="7" t="s">
        <v>11</v>
      </c>
      <c r="I1" s="7" t="s">
        <v>9</v>
      </c>
      <c r="J1" s="7" t="s">
        <v>18</v>
      </c>
      <c r="K1" s="7" t="s">
        <v>21</v>
      </c>
      <c r="L1" s="8"/>
      <c r="M1" s="1"/>
      <c r="N1" s="1"/>
      <c r="O1" s="1"/>
      <c r="P1" s="1"/>
      <c r="Q1" s="1"/>
    </row>
    <row r="2" spans="1:17" ht="18" customHeight="1" thickBot="1" x14ac:dyDescent="0.3">
      <c r="A2" s="9" t="s">
        <v>4</v>
      </c>
      <c r="B2" s="10"/>
      <c r="C2" s="11">
        <f ca="1">WORKDAY(TODAY(),2)</f>
        <v>44480</v>
      </c>
      <c r="D2" s="12"/>
      <c r="E2" s="12"/>
      <c r="F2" s="82">
        <f>-'Curva de rendimientos'!C4</f>
        <v>-169.2</v>
      </c>
      <c r="G2" s="13"/>
      <c r="H2" s="13"/>
      <c r="I2" s="1"/>
      <c r="J2" s="1"/>
      <c r="K2" s="1"/>
      <c r="L2" s="1"/>
      <c r="M2" s="14"/>
      <c r="N2" s="15"/>
      <c r="O2" s="1"/>
      <c r="P2" s="1"/>
      <c r="Q2" s="1"/>
    </row>
    <row r="3" spans="1:17" ht="18" customHeight="1" thickTop="1" thickBot="1" x14ac:dyDescent="0.35">
      <c r="A3" s="43">
        <v>1.4E-2</v>
      </c>
      <c r="B3" s="25">
        <f t="shared" ref="B3:B5" ca="1" si="0">DAYS360($C$2,C3)/360</f>
        <v>0.45555555555555555</v>
      </c>
      <c r="C3" s="26">
        <v>44645</v>
      </c>
      <c r="D3" s="27">
        <f>$A$3/360*DAYS360(Q3,C3)*($C$9-SUM($E$2:E2))</f>
        <v>1.2169486361782527</v>
      </c>
      <c r="E3" s="13"/>
      <c r="F3" s="68">
        <f t="shared" ref="F3:F5" si="1">+D3+E3</f>
        <v>1.2169486361782527</v>
      </c>
      <c r="G3" s="68">
        <f t="shared" ref="G3:G5" ca="1" si="2">F3/((1+$O$4)^(B3))</f>
        <v>1.1986701643370248</v>
      </c>
      <c r="H3" s="28">
        <f ca="1">+G3/$G$6</f>
        <v>7.085156227305562E-3</v>
      </c>
      <c r="I3" s="27">
        <f t="shared" ref="I3:I5" ca="1" si="3">+H3*B3</f>
        <v>3.2276822813280892E-3</v>
      </c>
      <c r="J3" s="27">
        <f t="shared" ref="J3:J5" ca="1" si="4">G3*B3*(1+B3)</f>
        <v>0.79482190773508155</v>
      </c>
      <c r="K3" s="27">
        <f ca="1">(B3*F3)/$F$6</f>
        <v>3.1232995973446511E-3</v>
      </c>
      <c r="L3" s="1"/>
      <c r="M3" s="29" t="s">
        <v>14</v>
      </c>
      <c r="N3" s="30">
        <f>'Curva de rendimientos'!C4</f>
        <v>169.2</v>
      </c>
      <c r="O3" s="31"/>
      <c r="P3" s="29" t="s">
        <v>29</v>
      </c>
      <c r="Q3" s="32">
        <v>44464</v>
      </c>
    </row>
    <row r="4" spans="1:17" ht="18" customHeight="1" thickBot="1" x14ac:dyDescent="0.35">
      <c r="A4" s="43"/>
      <c r="B4" s="25">
        <f t="shared" ca="1" si="0"/>
        <v>0.9555555555555556</v>
      </c>
      <c r="C4" s="26">
        <f t="shared" ref="C4:C5" si="5">EDATE(C3,6)</f>
        <v>44829</v>
      </c>
      <c r="D4" s="27">
        <f>$A$3/360*DAYS360(C3,C4)*($C$9-SUM($E$2:E3))</f>
        <v>1.2169486361782527</v>
      </c>
      <c r="E4" s="13"/>
      <c r="F4" s="68">
        <f t="shared" si="1"/>
        <v>1.2169486361782527</v>
      </c>
      <c r="G4" s="68">
        <f t="shared" ca="1" si="2"/>
        <v>1.1789242965777624</v>
      </c>
      <c r="H4" s="28">
        <f ca="1">+G4/$G$6</f>
        <v>6.9684414194455795E-3</v>
      </c>
      <c r="I4" s="27">
        <f t="shared" ca="1" si="3"/>
        <v>6.658732911914665E-3</v>
      </c>
      <c r="J4" s="27">
        <f t="shared" ca="1" si="4"/>
        <v>2.2029874262964215</v>
      </c>
      <c r="K4" s="27">
        <f ca="1">(B4*F4)/$F$6</f>
        <v>6.5513113505278045E-3</v>
      </c>
      <c r="L4" s="27"/>
      <c r="M4" s="29" t="s">
        <v>12</v>
      </c>
      <c r="N4" s="33">
        <f ca="1">((1+O4)^(1/2)-1)*2</f>
        <v>3.3498109788018482E-2</v>
      </c>
      <c r="O4" s="34">
        <f ca="1">XIRR(F2:F5,C2:C5)</f>
        <v>3.3778640627861026E-2</v>
      </c>
      <c r="P4" s="29" t="s">
        <v>15</v>
      </c>
      <c r="Q4" s="35">
        <f ca="1">(D3/DAYS360(Q3,C3))*DAYS360(Q3,C2)</f>
        <v>0.10817321210473357</v>
      </c>
    </row>
    <row r="5" spans="1:17" ht="18" customHeight="1" thickBot="1" x14ac:dyDescent="0.35">
      <c r="A5" s="43"/>
      <c r="B5" s="25">
        <f t="shared" ca="1" si="0"/>
        <v>1.4555555555555555</v>
      </c>
      <c r="C5" s="26">
        <f t="shared" si="5"/>
        <v>45010</v>
      </c>
      <c r="D5" s="27">
        <f>$A$3/360*DAYS360(C4,C5)*($C$9-SUM($E$2:E4))</f>
        <v>1.2169486361782527</v>
      </c>
      <c r="E5" s="64">
        <f>C9</f>
        <v>173.84980516832181</v>
      </c>
      <c r="F5" s="68">
        <f t="shared" si="1"/>
        <v>175.06675380450005</v>
      </c>
      <c r="G5" s="68">
        <f t="shared" ca="1" si="2"/>
        <v>166.80289018633357</v>
      </c>
      <c r="H5" s="28">
        <f ca="1">+G5/$G$6</f>
        <v>0.98594640235324882</v>
      </c>
      <c r="I5" s="27">
        <f t="shared" ca="1" si="3"/>
        <v>1.4350997634252842</v>
      </c>
      <c r="J5" s="27">
        <f t="shared" ca="1" si="4"/>
        <v>596.18647824500533</v>
      </c>
      <c r="K5" s="27">
        <f ca="1">(B5*F5)/$F$6</f>
        <v>1.4355969093481336</v>
      </c>
      <c r="L5" s="27"/>
      <c r="M5" s="29" t="s">
        <v>6</v>
      </c>
      <c r="N5" s="36">
        <f ca="1">I6</f>
        <v>1.444986178618527</v>
      </c>
      <c r="O5" s="31"/>
      <c r="P5" s="29" t="s">
        <v>17</v>
      </c>
      <c r="Q5" s="30">
        <f ca="1">(C9-SUM(E2:E2))+Q4</f>
        <v>173.95797838042654</v>
      </c>
    </row>
    <row r="6" spans="1:17" ht="18.75" customHeight="1" thickBot="1" x14ac:dyDescent="0.35">
      <c r="A6" s="51"/>
      <c r="B6" s="31"/>
      <c r="C6" s="31"/>
      <c r="D6" s="31"/>
      <c r="E6" s="31"/>
      <c r="F6" s="62">
        <f>SUM(F3:F5)</f>
        <v>177.50065107685657</v>
      </c>
      <c r="G6" s="81">
        <f ca="1">SUM(G3:G5)</f>
        <v>169.18048464724836</v>
      </c>
      <c r="H6" s="61">
        <f ca="1">SUM(H3:H5)</f>
        <v>1</v>
      </c>
      <c r="I6" s="44">
        <f ca="1">SUM(I3:I5)</f>
        <v>1.444986178618527</v>
      </c>
      <c r="J6" s="45">
        <f ca="1">SUM(J3:J5)/((1+O4)^2)</f>
        <v>560.6674025920538</v>
      </c>
      <c r="K6" s="46">
        <f ca="1">SUM(K3:K5)</f>
        <v>1.445271520296006</v>
      </c>
      <c r="L6" s="27"/>
      <c r="M6" s="29" t="s">
        <v>7</v>
      </c>
      <c r="N6" s="37">
        <f ca="1">N5/(1+N4/2)</f>
        <v>1.4211827113713513</v>
      </c>
      <c r="O6" s="31"/>
      <c r="P6" s="29" t="s">
        <v>16</v>
      </c>
      <c r="Q6" s="38">
        <f ca="1">N3/Q5</f>
        <v>0.97264869122575459</v>
      </c>
    </row>
    <row r="7" spans="1:17" ht="18.75" customHeight="1" thickBot="1" x14ac:dyDescent="0.35">
      <c r="A7" s="91" t="s">
        <v>26</v>
      </c>
      <c r="B7" s="92"/>
      <c r="C7" s="57">
        <v>20.350899999999999</v>
      </c>
      <c r="D7" s="52"/>
      <c r="E7" s="52"/>
      <c r="F7" s="52"/>
      <c r="G7" s="52"/>
      <c r="H7" s="52"/>
      <c r="I7" s="52"/>
      <c r="J7" s="52"/>
      <c r="K7" s="52"/>
      <c r="L7" s="27"/>
      <c r="M7" s="29" t="s">
        <v>19</v>
      </c>
      <c r="N7" s="37">
        <f ca="1">J6/N3</f>
        <v>3.3136371311587105</v>
      </c>
      <c r="O7" s="31"/>
      <c r="P7" s="31"/>
      <c r="Q7" s="31"/>
    </row>
    <row r="8" spans="1:17" ht="18.75" customHeight="1" thickBot="1" x14ac:dyDescent="0.35">
      <c r="A8" s="93" t="s">
        <v>27</v>
      </c>
      <c r="B8" s="94"/>
      <c r="C8" s="58">
        <f>'Curva de rendimientos'!D9</f>
        <v>35.380000000000003</v>
      </c>
      <c r="D8" s="52"/>
      <c r="E8" s="52"/>
      <c r="F8" s="52"/>
      <c r="G8" s="52"/>
      <c r="H8" s="52"/>
      <c r="I8" s="52"/>
      <c r="J8" s="52"/>
      <c r="K8" s="52"/>
      <c r="L8" s="27"/>
      <c r="M8" s="29" t="s">
        <v>22</v>
      </c>
      <c r="N8" s="37">
        <f ca="1">K6</f>
        <v>1.445271520296006</v>
      </c>
      <c r="O8" s="31"/>
      <c r="P8" s="31"/>
      <c r="Q8" s="31"/>
    </row>
    <row r="9" spans="1:17" ht="18" customHeight="1" thickBot="1" x14ac:dyDescent="0.35">
      <c r="A9" s="95" t="s">
        <v>28</v>
      </c>
      <c r="B9" s="96"/>
      <c r="C9" s="59">
        <f>100*(1+(C8/C7-1))</f>
        <v>173.84980516832181</v>
      </c>
      <c r="D9" s="52"/>
      <c r="E9" s="52"/>
      <c r="F9" s="52"/>
      <c r="G9" s="52"/>
      <c r="H9" s="52"/>
      <c r="I9" s="52"/>
      <c r="J9" s="52"/>
      <c r="K9" s="52"/>
      <c r="L9" s="27"/>
      <c r="M9" s="39"/>
      <c r="N9" s="40"/>
      <c r="O9" s="31"/>
      <c r="P9" s="31"/>
      <c r="Q9" s="31"/>
    </row>
    <row r="10" spans="1:17" ht="18" customHeight="1" x14ac:dyDescent="0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27"/>
      <c r="M10" s="41"/>
      <c r="N10" s="42"/>
      <c r="O10" s="31"/>
      <c r="P10" s="31"/>
      <c r="Q10" s="31"/>
    </row>
    <row r="11" spans="1:17" ht="18" customHeight="1" x14ac:dyDescent="0.2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27"/>
      <c r="M11" s="41"/>
      <c r="N11" s="42"/>
      <c r="O11" s="31"/>
      <c r="P11" s="31"/>
      <c r="Q11" s="31"/>
    </row>
    <row r="12" spans="1:17" ht="18" customHeight="1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27"/>
      <c r="M12" s="41"/>
      <c r="N12" s="42"/>
      <c r="O12" s="31"/>
      <c r="P12" s="31"/>
      <c r="Q12" s="31"/>
    </row>
    <row r="13" spans="1:17" ht="18" customHeight="1" x14ac:dyDescent="0.2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27"/>
      <c r="M13" s="41"/>
      <c r="N13" s="42"/>
      <c r="O13" s="31"/>
      <c r="P13" s="31"/>
      <c r="Q13" s="31"/>
    </row>
    <row r="14" spans="1:17" ht="18" customHeight="1" x14ac:dyDescent="0.25">
      <c r="A14" s="51"/>
      <c r="B14" s="52"/>
      <c r="C14" s="52"/>
      <c r="D14" s="54"/>
      <c r="E14" s="52"/>
      <c r="F14" s="52"/>
      <c r="G14" s="52"/>
      <c r="H14" s="52"/>
      <c r="I14" s="52"/>
      <c r="J14" s="52"/>
      <c r="K14" s="52"/>
      <c r="L14" s="27"/>
      <c r="M14" s="41"/>
      <c r="N14" s="42"/>
      <c r="O14" s="31"/>
      <c r="P14" s="31"/>
      <c r="Q14" s="31"/>
    </row>
    <row r="15" spans="1:17" ht="18" customHeight="1" x14ac:dyDescent="0.25">
      <c r="A15" s="51"/>
      <c r="B15" s="56"/>
      <c r="C15" s="52"/>
      <c r="D15" s="52"/>
      <c r="E15" s="52"/>
      <c r="F15" s="52"/>
      <c r="G15" s="52"/>
      <c r="H15" s="52"/>
      <c r="I15" s="52"/>
      <c r="J15" s="52"/>
      <c r="K15" s="52"/>
      <c r="L15" s="27"/>
      <c r="M15" s="41"/>
      <c r="N15" s="42"/>
      <c r="O15" s="31"/>
      <c r="P15" s="31"/>
      <c r="Q15" s="31"/>
    </row>
    <row r="16" spans="1:17" ht="18" customHeight="1" x14ac:dyDescent="0.25">
      <c r="A16" s="51"/>
      <c r="B16" s="52"/>
      <c r="C16" s="52"/>
      <c r="D16" s="55"/>
      <c r="E16" s="52"/>
      <c r="F16" s="52"/>
      <c r="G16" s="52"/>
      <c r="H16" s="52"/>
      <c r="I16" s="52"/>
      <c r="J16" s="52"/>
      <c r="K16" s="52"/>
      <c r="L16" s="27"/>
      <c r="M16" s="41"/>
      <c r="N16" s="42"/>
      <c r="O16" s="31"/>
      <c r="P16" s="31"/>
      <c r="Q16" s="31"/>
    </row>
    <row r="17" spans="1:17" ht="18" customHeight="1" x14ac:dyDescent="0.2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27"/>
      <c r="M17" s="41"/>
      <c r="N17" s="42"/>
      <c r="O17" s="31"/>
      <c r="P17" s="31"/>
      <c r="Q17" s="31"/>
    </row>
    <row r="18" spans="1:17" ht="18" customHeight="1" x14ac:dyDescent="0.2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27"/>
      <c r="M18" s="41"/>
      <c r="N18" s="42"/>
      <c r="O18" s="31"/>
      <c r="P18" s="31"/>
      <c r="Q18" s="31"/>
    </row>
    <row r="19" spans="1:17" ht="18" customHeight="1" x14ac:dyDescent="0.2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27"/>
      <c r="M19" s="41"/>
      <c r="N19" s="42"/>
      <c r="O19" s="31"/>
      <c r="P19" s="31"/>
      <c r="Q19" s="31"/>
    </row>
    <row r="20" spans="1:17" ht="18" customHeight="1" x14ac:dyDescent="0.2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27"/>
      <c r="M20" s="41"/>
      <c r="N20" s="42"/>
      <c r="O20" s="31"/>
      <c r="P20" s="31"/>
      <c r="Q20" s="31"/>
    </row>
    <row r="21" spans="1:17" ht="18" customHeight="1" x14ac:dyDescent="0.25">
      <c r="A21" s="53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47"/>
      <c r="M21" s="16"/>
      <c r="N21" s="17"/>
      <c r="O21" s="1"/>
      <c r="P21" s="1"/>
      <c r="Q21" s="1"/>
    </row>
    <row r="22" spans="1:17" ht="15.75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1"/>
      <c r="M22" s="16"/>
      <c r="N22" s="17"/>
      <c r="O22" s="1"/>
      <c r="P22" s="1"/>
      <c r="Q22" s="1"/>
    </row>
    <row r="23" spans="1:17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"/>
    </row>
    <row r="24" spans="1:17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7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7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7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7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7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7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7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7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6" spans="1:1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x14ac:dyDescent="0.25">
      <c r="D37" s="52"/>
      <c r="E37" s="52"/>
      <c r="F37" s="52"/>
      <c r="G37" s="52"/>
      <c r="H37" s="52"/>
      <c r="I37" s="52"/>
      <c r="J37" s="52"/>
      <c r="K37" s="52"/>
    </row>
  </sheetData>
  <mergeCells count="3">
    <mergeCell ref="A7:B7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G8" sqref="G8"/>
    </sheetView>
  </sheetViews>
  <sheetFormatPr baseColWidth="10" defaultRowHeight="15" x14ac:dyDescent="0.25"/>
  <cols>
    <col min="1" max="1" width="15.5703125" style="2" customWidth="1"/>
    <col min="2" max="2" width="16.5703125" style="2" customWidth="1"/>
    <col min="3" max="5" width="18.7109375" style="2" customWidth="1"/>
    <col min="6" max="8" width="20" style="2" customWidth="1"/>
    <col min="9" max="9" width="19.85546875" style="2" customWidth="1"/>
    <col min="10" max="10" width="25.85546875" style="2" customWidth="1"/>
    <col min="11" max="11" width="16" style="2" customWidth="1"/>
    <col min="12" max="12" width="4.7109375" style="2" customWidth="1"/>
    <col min="13" max="13" width="15.28515625" style="2" customWidth="1"/>
    <col min="14" max="14" width="16.28515625" style="2" customWidth="1"/>
    <col min="15" max="15" width="8.140625" style="2" customWidth="1"/>
    <col min="16" max="16" width="18" style="2" customWidth="1"/>
    <col min="17" max="17" width="13.85546875" style="2" customWidth="1"/>
    <col min="18" max="16384" width="11.42578125" style="2"/>
  </cols>
  <sheetData>
    <row r="1" spans="1:17" ht="27.75" customHeight="1" thickBot="1" x14ac:dyDescent="0.3">
      <c r="A1" s="4" t="s">
        <v>32</v>
      </c>
      <c r="B1" s="5" t="s">
        <v>10</v>
      </c>
      <c r="C1" s="5" t="s">
        <v>0</v>
      </c>
      <c r="D1" s="6" t="s">
        <v>1</v>
      </c>
      <c r="E1" s="6" t="s">
        <v>2</v>
      </c>
      <c r="F1" s="6" t="s">
        <v>3</v>
      </c>
      <c r="G1" s="6" t="s">
        <v>5</v>
      </c>
      <c r="H1" s="7" t="s">
        <v>11</v>
      </c>
      <c r="I1" s="7" t="s">
        <v>9</v>
      </c>
      <c r="J1" s="7" t="s">
        <v>18</v>
      </c>
      <c r="K1" s="7" t="s">
        <v>21</v>
      </c>
      <c r="L1" s="8"/>
      <c r="M1" s="1"/>
      <c r="N1" s="1"/>
      <c r="O1" s="1"/>
      <c r="P1" s="1"/>
      <c r="Q1" s="1"/>
    </row>
    <row r="2" spans="1:17" ht="18" customHeight="1" thickBot="1" x14ac:dyDescent="0.3">
      <c r="A2" s="9" t="s">
        <v>4</v>
      </c>
      <c r="B2" s="10"/>
      <c r="C2" s="11">
        <f ca="1">WORKDAY(TODAY(),2)</f>
        <v>44480</v>
      </c>
      <c r="D2" s="12"/>
      <c r="E2" s="12"/>
      <c r="F2" s="82">
        <f>-'Curva de rendimientos'!C5</f>
        <v>-161.69999999999999</v>
      </c>
      <c r="G2" s="13"/>
      <c r="H2" s="13"/>
      <c r="I2" s="1"/>
      <c r="J2" s="1"/>
      <c r="K2" s="1"/>
      <c r="L2" s="1"/>
      <c r="M2" s="14"/>
      <c r="N2" s="15"/>
      <c r="O2" s="1"/>
      <c r="P2" s="1"/>
      <c r="Q2" s="1"/>
    </row>
    <row r="3" spans="1:17" ht="18" customHeight="1" thickTop="1" thickBot="1" x14ac:dyDescent="0.35">
      <c r="A3" s="43">
        <v>1.4999999999999999E-2</v>
      </c>
      <c r="B3" s="25">
        <f t="shared" ref="B3:B7" ca="1" si="0">DAYS360($C$2,C3)/360</f>
        <v>0.45555555555555555</v>
      </c>
      <c r="C3" s="26">
        <f>EDATE(Q3,6)</f>
        <v>44645</v>
      </c>
      <c r="D3" s="27">
        <f>$A$3/360*DAYS360(Q3,C3)*($C$11-SUM($E$2:E2))</f>
        <v>1.3038735387624134</v>
      </c>
      <c r="E3" s="13"/>
      <c r="F3" s="68">
        <f t="shared" ref="F3:F7" si="1">+D3+E3</f>
        <v>1.3038735387624134</v>
      </c>
      <c r="G3" s="68">
        <f t="shared" ref="G3:G7" ca="1" si="2">F3/((1+$O$4)^(B3))</f>
        <v>1.2773007498107372</v>
      </c>
      <c r="H3" s="28">
        <f t="shared" ref="H3:H7" ca="1" si="3">+G3/$G$8</f>
        <v>7.8994801200078305E-3</v>
      </c>
      <c r="I3" s="27">
        <f t="shared" ref="I3:I7" ca="1" si="4">+H3*B3</f>
        <v>3.598652054670234E-3</v>
      </c>
      <c r="J3" s="27">
        <f t="shared" ref="J3:J7" ca="1" si="5">G3*B3*(1+B3)</f>
        <v>0.84696078113993434</v>
      </c>
      <c r="K3" s="27">
        <f t="shared" ref="K3:K7" ca="1" si="6">(B3*F3)/$F$8</f>
        <v>3.2931726907630523E-3</v>
      </c>
      <c r="L3" s="1"/>
      <c r="M3" s="29" t="s">
        <v>14</v>
      </c>
      <c r="N3" s="30">
        <f>'Curva de rendimientos'!C5</f>
        <v>161.69999999999999</v>
      </c>
      <c r="O3" s="31"/>
      <c r="P3" s="29" t="s">
        <v>29</v>
      </c>
      <c r="Q3" s="32">
        <v>44464</v>
      </c>
    </row>
    <row r="4" spans="1:17" ht="18" customHeight="1" thickBot="1" x14ac:dyDescent="0.35">
      <c r="A4" s="43"/>
      <c r="B4" s="25">
        <f t="shared" ca="1" si="0"/>
        <v>0.9555555555555556</v>
      </c>
      <c r="C4" s="26">
        <f t="shared" ref="C4:C7" si="7">EDATE(C3,6)</f>
        <v>44829</v>
      </c>
      <c r="D4" s="27">
        <f>$A$3/360*DAYS360(C3,C4)*($C$11-SUM($E$2:E3))</f>
        <v>1.3038735387624134</v>
      </c>
      <c r="E4" s="13"/>
      <c r="F4" s="68">
        <f t="shared" si="1"/>
        <v>1.3038735387624134</v>
      </c>
      <c r="G4" s="68">
        <f t="shared" ca="1" si="2"/>
        <v>1.2487584574250441</v>
      </c>
      <c r="H4" s="28">
        <f t="shared" ca="1" si="3"/>
        <v>7.7229600081127727E-3</v>
      </c>
      <c r="I4" s="27">
        <f t="shared" ca="1" si="4"/>
        <v>7.3797173410855383E-3</v>
      </c>
      <c r="J4" s="27">
        <f t="shared" ca="1" si="5"/>
        <v>2.3334824705661075</v>
      </c>
      <c r="K4" s="27">
        <f t="shared" ca="1" si="6"/>
        <v>6.9076305220883531E-3</v>
      </c>
      <c r="L4" s="27"/>
      <c r="M4" s="29" t="s">
        <v>12</v>
      </c>
      <c r="N4" s="33">
        <f ca="1">((1+O4)^(1/2)-1)*2</f>
        <v>4.57130715968046E-2</v>
      </c>
      <c r="O4" s="34">
        <f ca="1">XIRR(F2:F7,C2:C7)</f>
        <v>4.6235492825508123E-2</v>
      </c>
      <c r="P4" s="29" t="s">
        <v>15</v>
      </c>
      <c r="Q4" s="80">
        <f ca="1">(D3/DAYS360(Q3,C3))*DAYS360(Q3,C2)</f>
        <v>0.11589987011221453</v>
      </c>
    </row>
    <row r="5" spans="1:17" ht="18" customHeight="1" thickBot="1" x14ac:dyDescent="0.35">
      <c r="A5" s="43"/>
      <c r="B5" s="25">
        <f t="shared" ca="1" si="0"/>
        <v>1.4555555555555555</v>
      </c>
      <c r="C5" s="26">
        <f t="shared" si="7"/>
        <v>45010</v>
      </c>
      <c r="D5" s="27">
        <f>$A$3/360*DAYS360(C4,C5)*($C$11-SUM($E$2:E4))</f>
        <v>1.3038735387624134</v>
      </c>
      <c r="E5" s="13"/>
      <c r="F5" s="68">
        <f t="shared" si="1"/>
        <v>1.3038735387624134</v>
      </c>
      <c r="G5" s="68">
        <f t="shared" ca="1" si="2"/>
        <v>1.2208539650678494</v>
      </c>
      <c r="H5" s="28">
        <f t="shared" ca="1" si="3"/>
        <v>7.5503843773012886E-3</v>
      </c>
      <c r="I5" s="27">
        <f t="shared" ca="1" si="4"/>
        <v>1.0990003926960763E-2</v>
      </c>
      <c r="J5" s="27">
        <f t="shared" ca="1" si="5"/>
        <v>4.3635732274912726</v>
      </c>
      <c r="K5" s="27">
        <f t="shared" ca="1" si="6"/>
        <v>1.0522088353413653E-2</v>
      </c>
      <c r="L5" s="27"/>
      <c r="M5" s="29" t="s">
        <v>6</v>
      </c>
      <c r="N5" s="36">
        <f ca="1">I8</f>
        <v>2.4169309383835529</v>
      </c>
      <c r="O5" s="31"/>
      <c r="P5" s="29" t="s">
        <v>17</v>
      </c>
      <c r="Q5" s="30">
        <f ca="1">(C11-SUM(E2:E2))+Q4</f>
        <v>173.96570503843401</v>
      </c>
    </row>
    <row r="6" spans="1:17" ht="18.75" customHeight="1" thickBot="1" x14ac:dyDescent="0.35">
      <c r="A6" s="43"/>
      <c r="B6" s="25">
        <f t="shared" ca="1" si="0"/>
        <v>1.9555555555555555</v>
      </c>
      <c r="C6" s="26">
        <f t="shared" si="7"/>
        <v>45194</v>
      </c>
      <c r="D6" s="27">
        <f>$A$3/360*DAYS360(C5,C6)*($C$11-SUM($E$2:E5))</f>
        <v>1.3038735387624134</v>
      </c>
      <c r="E6" s="13"/>
      <c r="F6" s="68">
        <f t="shared" si="1"/>
        <v>1.3038735387624134</v>
      </c>
      <c r="G6" s="68">
        <f t="shared" ca="1" si="2"/>
        <v>1.1935730205946213</v>
      </c>
      <c r="H6" s="28">
        <f t="shared" ca="1" si="3"/>
        <v>7.3816650850334065E-3</v>
      </c>
      <c r="I6" s="27">
        <f t="shared" ca="1" si="4"/>
        <v>1.443525616628755E-2</v>
      </c>
      <c r="J6" s="27">
        <f t="shared" ca="1" si="5"/>
        <v>6.8985573496491099</v>
      </c>
      <c r="K6" s="27">
        <f t="shared" ca="1" si="6"/>
        <v>1.4136546184738953E-2</v>
      </c>
      <c r="L6" s="27"/>
      <c r="M6" s="29" t="s">
        <v>7</v>
      </c>
      <c r="N6" s="37">
        <f ca="1">N5/(1+N4/2)</f>
        <v>2.3629227108540594</v>
      </c>
      <c r="O6" s="31"/>
      <c r="P6" s="29" t="s">
        <v>16</v>
      </c>
      <c r="Q6" s="38">
        <f ca="1">N3/Q5</f>
        <v>0.92949354566335829</v>
      </c>
    </row>
    <row r="7" spans="1:17" ht="18.75" customHeight="1" thickBot="1" x14ac:dyDescent="0.35">
      <c r="A7" s="24"/>
      <c r="B7" s="25">
        <f t="shared" ca="1" si="0"/>
        <v>2.4555555555555557</v>
      </c>
      <c r="C7" s="26">
        <f t="shared" si="7"/>
        <v>45376</v>
      </c>
      <c r="D7" s="27">
        <f>$A$3/360*DAYS360(C6,C7)*($C$11-SUM($E$2:E6))</f>
        <v>1.3038735387624134</v>
      </c>
      <c r="E7" s="27">
        <f>C11</f>
        <v>173.84980516832181</v>
      </c>
      <c r="F7" s="68">
        <f t="shared" si="1"/>
        <v>175.15367870708423</v>
      </c>
      <c r="G7" s="68">
        <f t="shared" ca="1" si="2"/>
        <v>156.75379373516756</v>
      </c>
      <c r="H7" s="28">
        <f t="shared" ca="1" si="3"/>
        <v>0.96944551040954474</v>
      </c>
      <c r="I7" s="27">
        <f t="shared" ca="1" si="4"/>
        <v>2.3805273088945489</v>
      </c>
      <c r="J7" s="27">
        <f t="shared" ca="1" si="5"/>
        <v>1330.1043206434324</v>
      </c>
      <c r="K7" s="27">
        <f t="shared" ca="1" si="6"/>
        <v>2.3845515394912988</v>
      </c>
      <c r="L7" s="27"/>
      <c r="M7" s="29" t="s">
        <v>19</v>
      </c>
      <c r="N7" s="37">
        <f ca="1">J8/N3</f>
        <v>7.5963861951420313</v>
      </c>
      <c r="O7" s="31"/>
      <c r="P7" s="31"/>
      <c r="Q7" s="31"/>
    </row>
    <row r="8" spans="1:17" ht="18.75" customHeight="1" thickBot="1" x14ac:dyDescent="0.35">
      <c r="A8" s="51"/>
      <c r="B8" s="31"/>
      <c r="C8" s="31"/>
      <c r="D8" s="31"/>
      <c r="E8" s="31"/>
      <c r="F8" s="62">
        <f>SUM(F3:F7)</f>
        <v>180.36917286213387</v>
      </c>
      <c r="G8" s="81">
        <f ca="1">SUM(G3:G7)</f>
        <v>161.69427992806581</v>
      </c>
      <c r="H8" s="61">
        <f ca="1">SUM(H3:H7)</f>
        <v>1</v>
      </c>
      <c r="I8" s="44">
        <f ca="1">SUM(I3:I7)</f>
        <v>2.4169309383835529</v>
      </c>
      <c r="J8" s="45">
        <f ca="1">SUM(J3:J7)/((1+O4)^2)</f>
        <v>1228.3356477544664</v>
      </c>
      <c r="K8" s="46">
        <f ca="1">SUM(K3:K7)</f>
        <v>2.4194109772423027</v>
      </c>
      <c r="L8" s="27"/>
      <c r="M8" s="29" t="s">
        <v>22</v>
      </c>
      <c r="N8" s="37">
        <f ca="1">K8</f>
        <v>2.4194109772423027</v>
      </c>
      <c r="O8" s="31"/>
      <c r="P8" s="31"/>
      <c r="Q8" s="31"/>
    </row>
    <row r="9" spans="1:17" ht="18" customHeight="1" x14ac:dyDescent="0.3">
      <c r="A9" s="91" t="s">
        <v>26</v>
      </c>
      <c r="B9" s="92"/>
      <c r="C9" s="57">
        <v>20.350899999999999</v>
      </c>
      <c r="D9" s="52"/>
      <c r="E9" s="52"/>
      <c r="F9" s="52"/>
      <c r="G9" s="52"/>
      <c r="H9" s="52"/>
      <c r="I9" s="52"/>
      <c r="J9" s="52"/>
      <c r="K9" s="52"/>
      <c r="L9" s="27"/>
      <c r="M9" s="39"/>
      <c r="N9" s="40"/>
      <c r="O9" s="31"/>
      <c r="P9" s="31"/>
      <c r="Q9" s="31"/>
    </row>
    <row r="10" spans="1:17" ht="18" customHeight="1" thickBot="1" x14ac:dyDescent="0.3">
      <c r="A10" s="93" t="s">
        <v>27</v>
      </c>
      <c r="B10" s="94"/>
      <c r="C10" s="58">
        <f>'Curva de rendimientos'!D9</f>
        <v>35.380000000000003</v>
      </c>
      <c r="D10" s="52"/>
      <c r="E10" s="52"/>
      <c r="F10" s="52"/>
      <c r="G10" s="52"/>
      <c r="H10" s="52"/>
      <c r="I10" s="52"/>
      <c r="J10" s="52"/>
      <c r="K10" s="52"/>
      <c r="L10" s="27"/>
      <c r="M10" s="41"/>
      <c r="N10" s="42"/>
      <c r="O10" s="31"/>
      <c r="P10" s="31"/>
      <c r="Q10" s="31"/>
    </row>
    <row r="11" spans="1:17" ht="18" customHeight="1" thickBot="1" x14ac:dyDescent="0.3">
      <c r="A11" s="95" t="s">
        <v>28</v>
      </c>
      <c r="B11" s="96"/>
      <c r="C11" s="59">
        <f>100*(1+(C10/C9-1))</f>
        <v>173.84980516832181</v>
      </c>
      <c r="D11" s="52"/>
      <c r="E11" s="52"/>
      <c r="F11" s="52"/>
      <c r="G11" s="52"/>
      <c r="H11" s="52"/>
      <c r="I11" s="52"/>
      <c r="J11" s="52"/>
      <c r="K11" s="52"/>
      <c r="L11" s="27"/>
      <c r="M11" s="41"/>
      <c r="N11" s="42"/>
      <c r="O11" s="31"/>
      <c r="P11" s="31"/>
      <c r="Q11" s="31"/>
    </row>
    <row r="12" spans="1:17" ht="18" customHeight="1" x14ac:dyDescent="0.2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27"/>
      <c r="M12" s="41"/>
      <c r="N12" s="42"/>
      <c r="O12" s="31"/>
      <c r="P12" s="31"/>
      <c r="Q12" s="31"/>
    </row>
    <row r="13" spans="1:17" ht="18" customHeight="1" x14ac:dyDescent="0.2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27"/>
      <c r="M13" s="41"/>
      <c r="N13" s="42"/>
      <c r="O13" s="31"/>
      <c r="P13" s="31"/>
      <c r="Q13" s="31"/>
    </row>
    <row r="14" spans="1:17" ht="18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27"/>
      <c r="M14" s="41"/>
      <c r="N14" s="42"/>
      <c r="O14" s="31"/>
      <c r="P14" s="31"/>
      <c r="Q14" s="31"/>
    </row>
    <row r="15" spans="1:17" ht="18" customHeight="1" x14ac:dyDescent="0.2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27"/>
      <c r="M15" s="41"/>
      <c r="N15" s="42"/>
      <c r="O15" s="31"/>
      <c r="P15" s="31"/>
      <c r="Q15" s="31"/>
    </row>
    <row r="16" spans="1:17" ht="18" customHeight="1" x14ac:dyDescent="0.25">
      <c r="A16" s="51"/>
      <c r="B16" s="52"/>
      <c r="C16" s="52"/>
      <c r="D16" s="54"/>
      <c r="E16" s="52"/>
      <c r="F16" s="52"/>
      <c r="G16" s="52"/>
      <c r="H16" s="52"/>
      <c r="I16" s="52"/>
      <c r="J16" s="52"/>
      <c r="K16" s="52"/>
      <c r="L16" s="27"/>
      <c r="M16" s="41"/>
      <c r="N16" s="42"/>
      <c r="O16" s="31"/>
      <c r="P16" s="31"/>
      <c r="Q16" s="31"/>
    </row>
    <row r="17" spans="1:17" ht="18" customHeight="1" x14ac:dyDescent="0.25">
      <c r="A17" s="51"/>
      <c r="B17" s="56"/>
      <c r="C17" s="52"/>
      <c r="D17" s="52"/>
      <c r="E17" s="52"/>
      <c r="F17" s="52"/>
      <c r="G17" s="52"/>
      <c r="H17" s="52"/>
      <c r="I17" s="52"/>
      <c r="J17" s="52"/>
      <c r="K17" s="52"/>
      <c r="L17" s="27"/>
      <c r="M17" s="41"/>
      <c r="N17" s="42"/>
      <c r="O17" s="31"/>
      <c r="P17" s="31"/>
      <c r="Q17" s="31"/>
    </row>
    <row r="18" spans="1:17" ht="18" customHeight="1" x14ac:dyDescent="0.25">
      <c r="A18" s="51"/>
      <c r="B18" s="52"/>
      <c r="C18" s="52"/>
      <c r="D18" s="55"/>
      <c r="E18" s="52"/>
      <c r="F18" s="52"/>
      <c r="G18" s="52"/>
      <c r="H18" s="52"/>
      <c r="I18" s="52"/>
      <c r="J18" s="52"/>
      <c r="K18" s="52"/>
      <c r="L18" s="27"/>
      <c r="M18" s="41"/>
      <c r="N18" s="42"/>
      <c r="O18" s="31"/>
      <c r="P18" s="31"/>
      <c r="Q18" s="31"/>
    </row>
    <row r="19" spans="1:17" ht="18" customHeight="1" x14ac:dyDescent="0.2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27"/>
      <c r="M19" s="41"/>
      <c r="N19" s="42"/>
      <c r="O19" s="31"/>
      <c r="P19" s="31"/>
      <c r="Q19" s="31"/>
    </row>
    <row r="20" spans="1:17" ht="18" customHeight="1" x14ac:dyDescent="0.2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27"/>
      <c r="M20" s="41"/>
      <c r="N20" s="42"/>
      <c r="O20" s="31"/>
      <c r="P20" s="31"/>
      <c r="Q20" s="31"/>
    </row>
    <row r="21" spans="1:17" ht="18" customHeight="1" x14ac:dyDescent="0.2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47"/>
      <c r="M21" s="16"/>
      <c r="N21" s="17"/>
      <c r="O21" s="1"/>
      <c r="P21" s="1"/>
      <c r="Q21" s="1"/>
    </row>
    <row r="22" spans="1:17" ht="15.75" x14ac:dyDescent="0.2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1"/>
      <c r="M22" s="16"/>
      <c r="N22" s="17"/>
      <c r="O22" s="1"/>
      <c r="P22" s="1"/>
      <c r="Q22" s="1"/>
    </row>
    <row r="23" spans="1:17" x14ac:dyDescent="0.25">
      <c r="A23" s="5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"/>
    </row>
    <row r="24" spans="1:17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7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7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7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7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7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7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7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7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6" spans="1:1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x14ac:dyDescent="0.25">
      <c r="D39" s="52"/>
      <c r="E39" s="52"/>
      <c r="F39" s="52"/>
      <c r="G39" s="52"/>
      <c r="H39" s="52"/>
      <c r="I39" s="52"/>
      <c r="J39" s="52"/>
      <c r="K39" s="52"/>
    </row>
  </sheetData>
  <mergeCells count="3"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F2" sqref="F2"/>
    </sheetView>
  </sheetViews>
  <sheetFormatPr baseColWidth="10" defaultRowHeight="15" x14ac:dyDescent="0.25"/>
  <cols>
    <col min="1" max="1" width="19.5703125" style="2" customWidth="1"/>
    <col min="2" max="2" width="19.7109375" style="2" customWidth="1"/>
    <col min="3" max="5" width="18.7109375" style="2" customWidth="1"/>
    <col min="6" max="8" width="20" style="2" customWidth="1"/>
    <col min="9" max="9" width="19.85546875" style="2" customWidth="1"/>
    <col min="10" max="10" width="25.85546875" style="2" customWidth="1"/>
    <col min="11" max="11" width="16" style="2" customWidth="1"/>
    <col min="12" max="12" width="4.7109375" style="2" customWidth="1"/>
    <col min="13" max="13" width="15.28515625" style="2" customWidth="1"/>
    <col min="14" max="14" width="16.28515625" style="2" customWidth="1"/>
    <col min="15" max="15" width="8.140625" style="2" customWidth="1"/>
    <col min="16" max="16" width="18" style="2" customWidth="1"/>
    <col min="17" max="17" width="13.85546875" style="2" customWidth="1"/>
    <col min="18" max="16384" width="11.42578125" style="2"/>
  </cols>
  <sheetData>
    <row r="1" spans="1:17" ht="27.75" customHeight="1" thickBot="1" x14ac:dyDescent="0.3">
      <c r="A1" s="4" t="s">
        <v>31</v>
      </c>
      <c r="B1" s="5" t="s">
        <v>10</v>
      </c>
      <c r="C1" s="5" t="s">
        <v>0</v>
      </c>
      <c r="D1" s="6" t="s">
        <v>1</v>
      </c>
      <c r="E1" s="6" t="s">
        <v>2</v>
      </c>
      <c r="F1" s="6" t="s">
        <v>3</v>
      </c>
      <c r="G1" s="6" t="s">
        <v>5</v>
      </c>
      <c r="H1" s="7" t="s">
        <v>11</v>
      </c>
      <c r="I1" s="7" t="s">
        <v>9</v>
      </c>
      <c r="J1" s="7" t="s">
        <v>18</v>
      </c>
      <c r="K1" s="7" t="s">
        <v>21</v>
      </c>
      <c r="L1" s="8"/>
      <c r="M1" s="1"/>
      <c r="N1" s="1"/>
      <c r="O1" s="1"/>
      <c r="P1" s="1"/>
      <c r="Q1" s="1"/>
    </row>
    <row r="2" spans="1:17" ht="18" customHeight="1" thickBot="1" x14ac:dyDescent="0.3">
      <c r="A2" s="9" t="s">
        <v>4</v>
      </c>
      <c r="B2" s="10"/>
      <c r="C2" s="11">
        <f ca="1">WORKDAY(TODAY(),2)</f>
        <v>44480</v>
      </c>
      <c r="D2" s="12"/>
      <c r="E2" s="12"/>
      <c r="F2" s="82">
        <f>-'Curva de rendimientos'!C6</f>
        <v>-131.9</v>
      </c>
      <c r="G2" s="13"/>
      <c r="H2" s="13"/>
      <c r="I2" s="1"/>
      <c r="J2" s="1"/>
      <c r="K2" s="1"/>
      <c r="L2" s="1"/>
      <c r="M2" s="14"/>
      <c r="N2" s="15"/>
      <c r="O2" s="1"/>
      <c r="P2" s="1"/>
      <c r="Q2" s="1"/>
    </row>
    <row r="3" spans="1:17" ht="18" customHeight="1" thickTop="1" thickBot="1" x14ac:dyDescent="0.35">
      <c r="A3" s="43">
        <v>0.02</v>
      </c>
      <c r="B3" s="25">
        <f t="shared" ref="B3:B13" ca="1" si="0">DAYS360($C$2,C3)/360</f>
        <v>7.7777777777777779E-2</v>
      </c>
      <c r="C3" s="26">
        <v>44509</v>
      </c>
      <c r="D3" s="27">
        <f>$A$3/360*DAYS360(Q3,C3)*($C$17-SUM($E$2:E2))</f>
        <v>1.5579863312900728</v>
      </c>
      <c r="E3" s="13"/>
      <c r="F3" s="68">
        <f t="shared" ref="F3:F13" si="1">+D3+E3</f>
        <v>1.5579863312900728</v>
      </c>
      <c r="G3" s="68">
        <f t="shared" ref="G3:G13" ca="1" si="2">F3/((1+$O$4)^(B3))</f>
        <v>1.5501338830950953</v>
      </c>
      <c r="H3" s="28">
        <f t="shared" ref="H3:H13" ca="1" si="3">+G3/$G$14</f>
        <v>1.1750360038203582E-2</v>
      </c>
      <c r="I3" s="27">
        <f t="shared" ref="I3:I13" ca="1" si="4">+H3*B3</f>
        <v>9.1391689186027863E-4</v>
      </c>
      <c r="J3" s="27">
        <f t="shared" ref="J3:J13" ca="1" si="5">G3*B3*(1+B3)</f>
        <v>0.12994332180513204</v>
      </c>
      <c r="K3" s="27">
        <f t="shared" ref="K3:K13" ca="1" si="6">(B3*F3)/$F$14</f>
        <v>7.1355759429153924E-4</v>
      </c>
      <c r="L3" s="27"/>
      <c r="M3" s="29" t="s">
        <v>14</v>
      </c>
      <c r="N3" s="30">
        <f>'Curva de rendimientos'!C6</f>
        <v>131.9</v>
      </c>
      <c r="O3" s="31"/>
      <c r="P3" s="29" t="s">
        <v>29</v>
      </c>
      <c r="Q3" s="32">
        <v>44325</v>
      </c>
    </row>
    <row r="4" spans="1:17" ht="18" customHeight="1" thickBot="1" x14ac:dyDescent="0.35">
      <c r="A4" s="43"/>
      <c r="B4" s="25">
        <f t="shared" ca="1" si="0"/>
        <v>0.57777777777777772</v>
      </c>
      <c r="C4" s="26">
        <f t="shared" ref="C4:C13" si="7">EDATE(C3,6)</f>
        <v>44690</v>
      </c>
      <c r="D4" s="27">
        <f>$A$3/360*DAYS360(C3,C4)*($C$17-SUM($E$2:E3))</f>
        <v>1.5579863312900728</v>
      </c>
      <c r="E4" s="13"/>
      <c r="F4" s="68">
        <f t="shared" si="1"/>
        <v>1.5579863312900728</v>
      </c>
      <c r="G4" s="68">
        <f t="shared" ca="1" si="2"/>
        <v>1.5005902979765633</v>
      </c>
      <c r="H4" s="28">
        <f t="shared" ca="1" si="3"/>
        <v>1.137480862998343E-2</v>
      </c>
      <c r="I4" s="27">
        <f t="shared" ca="1" si="4"/>
        <v>6.5721116528793143E-3</v>
      </c>
      <c r="J4" s="27">
        <f t="shared" ca="1" si="5"/>
        <v>1.3679455259578941</v>
      </c>
      <c r="K4" s="27">
        <f t="shared" ca="1" si="6"/>
        <v>5.3007135575942905E-3</v>
      </c>
      <c r="L4" s="27"/>
      <c r="M4" s="29" t="s">
        <v>12</v>
      </c>
      <c r="N4" s="33">
        <f ca="1">((1+O4)^(1/2)-1)*2</f>
        <v>6.6032127737114532E-2</v>
      </c>
      <c r="O4" s="34">
        <f ca="1">XIRR(F2:F13,C2:C13)</f>
        <v>6.7122188210487377E-2</v>
      </c>
      <c r="P4" s="29" t="s">
        <v>15</v>
      </c>
      <c r="Q4" s="35">
        <f ca="1">(D3/DAYS360(Q3,C3))*DAYS360(Q3,C2)</f>
        <v>1.3156329019782838</v>
      </c>
    </row>
    <row r="5" spans="1:17" ht="18" customHeight="1" thickBot="1" x14ac:dyDescent="0.35">
      <c r="A5" s="43"/>
      <c r="B5" s="25">
        <f t="shared" ca="1" si="0"/>
        <v>1.0777777777777777</v>
      </c>
      <c r="C5" s="26">
        <f t="shared" si="7"/>
        <v>44874</v>
      </c>
      <c r="D5" s="27">
        <f>$A$3/360*DAYS360(C4,C5)*($C$17-SUM($E$2:E4))</f>
        <v>1.5579863312900728</v>
      </c>
      <c r="E5" s="13"/>
      <c r="F5" s="68">
        <f t="shared" si="1"/>
        <v>1.5579863312900728</v>
      </c>
      <c r="G5" s="68">
        <f t="shared" ca="1" si="2"/>
        <v>1.4526301675861462</v>
      </c>
      <c r="H5" s="28">
        <f t="shared" ca="1" si="3"/>
        <v>1.1011260161227058E-2</v>
      </c>
      <c r="I5" s="27">
        <f t="shared" ca="1" si="4"/>
        <v>1.1867691507100273E-2</v>
      </c>
      <c r="J5" s="27">
        <f t="shared" ca="1" si="5"/>
        <v>3.2529948901043331</v>
      </c>
      <c r="K5" s="27">
        <f t="shared" ca="1" si="6"/>
        <v>9.887869520897043E-3</v>
      </c>
      <c r="L5" s="27"/>
      <c r="M5" s="29" t="s">
        <v>6</v>
      </c>
      <c r="N5" s="36">
        <f ca="1">I14</f>
        <v>3.8562491629358391</v>
      </c>
      <c r="O5" s="31"/>
      <c r="P5" s="29" t="s">
        <v>17</v>
      </c>
      <c r="Q5" s="30">
        <f ca="1">(C17-SUM(E2:E2))+Q4</f>
        <v>157.11426603098556</v>
      </c>
    </row>
    <row r="6" spans="1:17" ht="18.75" customHeight="1" thickBot="1" x14ac:dyDescent="0.35">
      <c r="A6" s="43"/>
      <c r="B6" s="25">
        <f t="shared" ca="1" si="0"/>
        <v>1.5777777777777777</v>
      </c>
      <c r="C6" s="26">
        <f t="shared" si="7"/>
        <v>45055</v>
      </c>
      <c r="D6" s="27">
        <f>$A$3/360*DAYS360(C5,C6)*($C$17-SUM($E$2:E5))</f>
        <v>1.5579863312900728</v>
      </c>
      <c r="E6" s="13"/>
      <c r="F6" s="68">
        <f t="shared" si="1"/>
        <v>1.5579863312900728</v>
      </c>
      <c r="G6" s="68">
        <f t="shared" ca="1" si="2"/>
        <v>1.4062028833764402</v>
      </c>
      <c r="H6" s="28">
        <f t="shared" ca="1" si="3"/>
        <v>1.0659331007874964E-2</v>
      </c>
      <c r="I6" s="27">
        <f t="shared" ca="1" si="4"/>
        <v>1.6818055590202722E-2</v>
      </c>
      <c r="J6" s="27">
        <f t="shared" ca="1" si="5"/>
        <v>5.7192528135744984</v>
      </c>
      <c r="K6" s="27">
        <f t="shared" ca="1" si="6"/>
        <v>1.4475025484199796E-2</v>
      </c>
      <c r="L6" s="27"/>
      <c r="M6" s="29" t="s">
        <v>7</v>
      </c>
      <c r="N6" s="37">
        <f ca="1">N5/(1+N4/2)</f>
        <v>3.7330001902337453</v>
      </c>
      <c r="O6" s="31"/>
      <c r="P6" s="29" t="s">
        <v>16</v>
      </c>
      <c r="Q6" s="38">
        <f ca="1">N3/Q5</f>
        <v>0.8395163808612206</v>
      </c>
    </row>
    <row r="7" spans="1:17" ht="18.75" customHeight="1" thickBot="1" x14ac:dyDescent="0.35">
      <c r="A7" s="43"/>
      <c r="B7" s="25">
        <f t="shared" ca="1" si="0"/>
        <v>2.0777777777777779</v>
      </c>
      <c r="C7" s="26">
        <f t="shared" si="7"/>
        <v>45239</v>
      </c>
      <c r="D7" s="27">
        <f>$A$3/360*DAYS360(C6,C7)*($C$17-SUM($E$2:E6))</f>
        <v>1.5579863312900728</v>
      </c>
      <c r="E7" s="13"/>
      <c r="F7" s="68">
        <f t="shared" si="1"/>
        <v>1.5579863312900728</v>
      </c>
      <c r="G7" s="68">
        <f t="shared" ca="1" si="2"/>
        <v>1.3612594542918623</v>
      </c>
      <c r="H7" s="28">
        <f t="shared" ca="1" si="3"/>
        <v>1.0318649806815855E-2</v>
      </c>
      <c r="I7" s="27">
        <f t="shared" ca="1" si="4"/>
        <v>2.1439861265272944E-2</v>
      </c>
      <c r="J7" s="27">
        <f t="shared" ca="1" si="5"/>
        <v>8.7051701818350846</v>
      </c>
      <c r="K7" s="27">
        <f t="shared" ca="1" si="6"/>
        <v>1.906218144750255E-2</v>
      </c>
      <c r="L7" s="27"/>
      <c r="M7" s="29" t="s">
        <v>19</v>
      </c>
      <c r="N7" s="37">
        <f ca="1">J14/N3</f>
        <v>17.304919512456138</v>
      </c>
      <c r="O7" s="31"/>
      <c r="P7" s="31"/>
      <c r="Q7" s="31"/>
    </row>
    <row r="8" spans="1:17" ht="18.75" customHeight="1" thickBot="1" x14ac:dyDescent="0.35">
      <c r="A8" s="43"/>
      <c r="B8" s="25">
        <f t="shared" ca="1" si="0"/>
        <v>2.5777777777777779</v>
      </c>
      <c r="C8" s="26">
        <f t="shared" si="7"/>
        <v>45421</v>
      </c>
      <c r="D8" s="27">
        <f>$A$3/360*DAYS360(C7,C8)*($C$17-SUM($E$2:E7))</f>
        <v>1.5579863312900728</v>
      </c>
      <c r="E8" s="13"/>
      <c r="F8" s="68">
        <f t="shared" si="1"/>
        <v>1.5579863312900728</v>
      </c>
      <c r="G8" s="68">
        <f t="shared" ca="1" si="2"/>
        <v>1.3177524550722488</v>
      </c>
      <c r="H8" s="28">
        <f t="shared" ca="1" si="3"/>
        <v>9.9888570640163984E-3</v>
      </c>
      <c r="I8" s="27">
        <f t="shared" ca="1" si="4"/>
        <v>2.5749053765020052E-2</v>
      </c>
      <c r="J8" s="27">
        <f t="shared" ca="1" si="5"/>
        <v>12.153256716508306</v>
      </c>
      <c r="K8" s="27">
        <f t="shared" ca="1" si="6"/>
        <v>2.3649337410805299E-2</v>
      </c>
      <c r="L8" s="27"/>
      <c r="M8" s="29" t="s">
        <v>22</v>
      </c>
      <c r="N8" s="37">
        <f ca="1">K14</f>
        <v>3.9172273190621807</v>
      </c>
      <c r="O8" s="31"/>
      <c r="P8" s="31"/>
      <c r="Q8" s="31"/>
    </row>
    <row r="9" spans="1:17" ht="18" customHeight="1" x14ac:dyDescent="0.3">
      <c r="A9" s="43"/>
      <c r="B9" s="25">
        <f t="shared" ca="1" si="0"/>
        <v>3.0777777777777779</v>
      </c>
      <c r="C9" s="26">
        <f t="shared" si="7"/>
        <v>45605</v>
      </c>
      <c r="D9" s="27">
        <f>$A$3/360*DAYS360(C8,C9)*($C$17-SUM($E$2:E8))</f>
        <v>1.5579863312900728</v>
      </c>
      <c r="E9" s="27">
        <f>$C$17/5</f>
        <v>31.159726625801454</v>
      </c>
      <c r="F9" s="68">
        <f t="shared" si="1"/>
        <v>32.717712957091528</v>
      </c>
      <c r="G9" s="68">
        <f t="shared" ca="1" si="2"/>
        <v>26.788355500382959</v>
      </c>
      <c r="H9" s="28">
        <f t="shared" ca="1" si="3"/>
        <v>0.20306170027868545</v>
      </c>
      <c r="I9" s="27">
        <f t="shared" ca="1" si="4"/>
        <v>0.62497878863550971</v>
      </c>
      <c r="J9" s="27">
        <f t="shared" ca="1" si="5"/>
        <v>336.20709034733716</v>
      </c>
      <c r="K9" s="27">
        <f t="shared" ca="1" si="6"/>
        <v>0.59296636085626919</v>
      </c>
      <c r="L9" s="27"/>
      <c r="M9" s="39"/>
      <c r="N9" s="40"/>
      <c r="O9" s="31"/>
      <c r="P9" s="31"/>
      <c r="Q9" s="31"/>
    </row>
    <row r="10" spans="1:17" ht="18" customHeight="1" x14ac:dyDescent="0.3">
      <c r="A10" s="43"/>
      <c r="B10" s="25">
        <f t="shared" ca="1" si="0"/>
        <v>3.5777777777777779</v>
      </c>
      <c r="C10" s="26">
        <f t="shared" si="7"/>
        <v>45786</v>
      </c>
      <c r="D10" s="27">
        <f>$A$3/360*DAYS360(C9,C10)*($C$17-SUM($E$2:E9))</f>
        <v>1.2463890650320582</v>
      </c>
      <c r="E10" s="27">
        <f t="shared" ref="E10:E13" si="8">$C$17/5</f>
        <v>31.159726625801454</v>
      </c>
      <c r="F10" s="68">
        <f t="shared" si="1"/>
        <v>32.406115690833509</v>
      </c>
      <c r="G10" s="68">
        <f t="shared" ca="1" si="2"/>
        <v>25.685203970378282</v>
      </c>
      <c r="H10" s="28">
        <f t="shared" ca="1" si="3"/>
        <v>0.19469956601685737</v>
      </c>
      <c r="I10" s="27">
        <f t="shared" ca="1" si="4"/>
        <v>0.69659178063808969</v>
      </c>
      <c r="J10" s="27">
        <f t="shared" ca="1" si="5"/>
        <v>420.67924685509439</v>
      </c>
      <c r="K10" s="27">
        <f t="shared" ca="1" si="6"/>
        <v>0.68273190621814472</v>
      </c>
      <c r="L10" s="27"/>
      <c r="M10" s="41"/>
      <c r="N10" s="42"/>
      <c r="O10" s="31"/>
      <c r="P10" s="31"/>
      <c r="Q10" s="31"/>
    </row>
    <row r="11" spans="1:17" ht="18" customHeight="1" x14ac:dyDescent="0.3">
      <c r="A11" s="43"/>
      <c r="B11" s="25">
        <f t="shared" ca="1" si="0"/>
        <v>4.0777777777777775</v>
      </c>
      <c r="C11" s="26">
        <f t="shared" si="7"/>
        <v>45970</v>
      </c>
      <c r="D11" s="27">
        <f>$A$3/360*DAYS360(C10,C11)*($C$17-SUM($E$2:E10))</f>
        <v>0.93479179877404361</v>
      </c>
      <c r="E11" s="27">
        <f t="shared" si="8"/>
        <v>31.159726625801454</v>
      </c>
      <c r="F11" s="68">
        <f t="shared" si="1"/>
        <v>32.094518424575497</v>
      </c>
      <c r="G11" s="68">
        <f t="shared" ca="1" si="2"/>
        <v>24.62520356170889</v>
      </c>
      <c r="H11" s="28">
        <f t="shared" ca="1" si="3"/>
        <v>0.18666452686421392</v>
      </c>
      <c r="I11" s="27">
        <f t="shared" ca="1" si="4"/>
        <v>0.76117645954629454</v>
      </c>
      <c r="J11" s="27">
        <f t="shared" ca="1" si="5"/>
        <v>509.8906810081794</v>
      </c>
      <c r="K11" s="27">
        <f t="shared" ca="1" si="6"/>
        <v>0.77066258919469921</v>
      </c>
      <c r="L11" s="27"/>
      <c r="M11" s="41"/>
      <c r="N11" s="42"/>
      <c r="O11" s="31"/>
      <c r="P11" s="31"/>
      <c r="Q11" s="31"/>
    </row>
    <row r="12" spans="1:17" ht="18" customHeight="1" x14ac:dyDescent="0.3">
      <c r="A12" s="43"/>
      <c r="B12" s="25">
        <f t="shared" ca="1" si="0"/>
        <v>4.5777777777777775</v>
      </c>
      <c r="C12" s="26">
        <f t="shared" si="7"/>
        <v>46151</v>
      </c>
      <c r="D12" s="27">
        <f>$A$3/360*DAYS360(C11,C12)*($C$17-SUM($E$2:E11))</f>
        <v>0.62319453251602908</v>
      </c>
      <c r="E12" s="27">
        <f t="shared" si="8"/>
        <v>31.159726625801454</v>
      </c>
      <c r="F12" s="68">
        <f t="shared" si="1"/>
        <v>31.782921158317482</v>
      </c>
      <c r="G12" s="68">
        <f t="shared" ca="1" si="2"/>
        <v>23.606722846259274</v>
      </c>
      <c r="H12" s="28">
        <f t="shared" ca="1" si="3"/>
        <v>0.17894421623233156</v>
      </c>
      <c r="I12" s="27">
        <f t="shared" ca="1" si="4"/>
        <v>0.81916685653022892</v>
      </c>
      <c r="J12" s="27">
        <f t="shared" ca="1" si="5"/>
        <v>602.76998098206514</v>
      </c>
      <c r="K12" s="27">
        <f t="shared" ca="1" si="6"/>
        <v>0.85675840978593254</v>
      </c>
      <c r="L12" s="27"/>
      <c r="M12" s="41"/>
      <c r="N12" s="42"/>
      <c r="O12" s="31"/>
      <c r="P12" s="31"/>
      <c r="Q12" s="31"/>
    </row>
    <row r="13" spans="1:17" ht="18" customHeight="1" x14ac:dyDescent="0.3">
      <c r="A13" s="43"/>
      <c r="B13" s="25">
        <f t="shared" ca="1" si="0"/>
        <v>5.0777777777777775</v>
      </c>
      <c r="C13" s="26">
        <f t="shared" si="7"/>
        <v>46335</v>
      </c>
      <c r="D13" s="27">
        <f>$A$3/360*DAYS360(C12,C13)*($C$17-SUM($E$2:E12))</f>
        <v>0.31159726625801454</v>
      </c>
      <c r="E13" s="27">
        <f t="shared" si="8"/>
        <v>31.159726625801454</v>
      </c>
      <c r="F13" s="68">
        <f t="shared" si="1"/>
        <v>31.47132389205947</v>
      </c>
      <c r="G13" s="68">
        <f t="shared" ca="1" si="2"/>
        <v>22.628190600873886</v>
      </c>
      <c r="H13" s="28">
        <f t="shared" ca="1" si="3"/>
        <v>0.17152672389979043</v>
      </c>
      <c r="I13" s="27">
        <f t="shared" ca="1" si="4"/>
        <v>0.87097458691338026</v>
      </c>
      <c r="J13" s="27">
        <f t="shared" ca="1" si="5"/>
        <v>698.34227879208061</v>
      </c>
      <c r="K13" s="27">
        <f t="shared" ca="1" si="6"/>
        <v>0.94101936799184493</v>
      </c>
      <c r="L13" s="27"/>
      <c r="M13" s="41"/>
      <c r="N13" s="42"/>
      <c r="O13" s="31"/>
      <c r="P13" s="31"/>
      <c r="Q13" s="31"/>
    </row>
    <row r="14" spans="1:17" ht="18" customHeight="1" thickBot="1" x14ac:dyDescent="0.3">
      <c r="A14" s="24"/>
      <c r="B14" s="31"/>
      <c r="C14" s="31"/>
      <c r="D14" s="31"/>
      <c r="E14" s="31"/>
      <c r="F14" s="62">
        <f>SUM(F3:F13)</f>
        <v>169.82051011061793</v>
      </c>
      <c r="G14" s="81">
        <f ca="1">SUM(G3:G13)</f>
        <v>131.92224562100165</v>
      </c>
      <c r="H14" s="61">
        <f ca="1">SUM(H3:H13)</f>
        <v>1</v>
      </c>
      <c r="I14" s="44">
        <f ca="1">SUM(I3:I13)</f>
        <v>3.8562491629358391</v>
      </c>
      <c r="J14" s="45">
        <f ca="1">SUM(J3:J13)/((1+O4)^2)</f>
        <v>2282.5188836929647</v>
      </c>
      <c r="K14" s="46">
        <f ca="1">SUM(K3:K13)</f>
        <v>3.9172273190621807</v>
      </c>
      <c r="L14" s="27"/>
      <c r="M14" s="41"/>
      <c r="N14" s="42"/>
      <c r="O14" s="31"/>
      <c r="P14" s="31"/>
      <c r="Q14" s="31"/>
    </row>
    <row r="15" spans="1:17" ht="18" customHeight="1" x14ac:dyDescent="0.25">
      <c r="A15" s="85" t="s">
        <v>26</v>
      </c>
      <c r="B15" s="97"/>
      <c r="C15" s="57">
        <v>22.7088</v>
      </c>
      <c r="D15" s="52"/>
      <c r="E15" s="52"/>
      <c r="F15" s="52"/>
      <c r="G15" s="52"/>
      <c r="H15" s="52"/>
      <c r="I15" s="52"/>
      <c r="J15" s="52"/>
      <c r="K15" s="52"/>
      <c r="L15" s="27"/>
      <c r="M15" s="41"/>
      <c r="N15" s="42"/>
      <c r="O15" s="31"/>
      <c r="P15" s="31"/>
      <c r="Q15" s="31"/>
    </row>
    <row r="16" spans="1:17" ht="18" customHeight="1" thickBot="1" x14ac:dyDescent="0.3">
      <c r="A16" s="85" t="s">
        <v>27</v>
      </c>
      <c r="B16" s="97"/>
      <c r="C16" s="58">
        <f>'Curva de rendimientos'!D9</f>
        <v>35.380000000000003</v>
      </c>
      <c r="D16" s="52"/>
      <c r="E16" s="52"/>
      <c r="F16" s="52"/>
      <c r="G16" s="52"/>
      <c r="H16" s="52"/>
      <c r="I16" s="52"/>
      <c r="J16" s="52"/>
      <c r="K16" s="52"/>
      <c r="L16" s="27"/>
      <c r="M16" s="41"/>
      <c r="N16" s="42"/>
      <c r="O16" s="31"/>
      <c r="P16" s="31"/>
      <c r="Q16" s="31"/>
    </row>
    <row r="17" spans="1:17" ht="18" customHeight="1" thickBot="1" x14ac:dyDescent="0.3">
      <c r="A17" s="85" t="s">
        <v>28</v>
      </c>
      <c r="B17" s="97"/>
      <c r="C17" s="59">
        <f>100*(1+(C16/C15-1))</f>
        <v>155.79863312900727</v>
      </c>
      <c r="D17" s="52"/>
      <c r="E17" s="52"/>
      <c r="F17" s="52"/>
      <c r="G17" s="52"/>
      <c r="H17" s="52"/>
      <c r="I17" s="52"/>
      <c r="J17" s="52"/>
      <c r="K17" s="52"/>
      <c r="L17" s="27"/>
      <c r="M17" s="41"/>
      <c r="N17" s="42"/>
      <c r="O17" s="31"/>
      <c r="P17" s="31"/>
      <c r="Q17" s="31"/>
    </row>
    <row r="18" spans="1:17" ht="18" customHeight="1" x14ac:dyDescent="0.25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27"/>
      <c r="M18" s="41"/>
      <c r="N18" s="42"/>
      <c r="O18" s="31"/>
      <c r="P18" s="31"/>
      <c r="Q18" s="31"/>
    </row>
    <row r="19" spans="1:17" ht="18" customHeight="1" x14ac:dyDescent="0.2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27"/>
      <c r="M19" s="41"/>
      <c r="N19" s="42"/>
      <c r="O19" s="31"/>
      <c r="P19" s="31"/>
      <c r="Q19" s="31"/>
    </row>
    <row r="20" spans="1:17" ht="18" customHeight="1" x14ac:dyDescent="0.2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47"/>
      <c r="M20" s="41"/>
      <c r="N20" s="42"/>
      <c r="O20" s="31"/>
      <c r="P20" s="31"/>
      <c r="Q20" s="31"/>
    </row>
    <row r="21" spans="1:17" ht="18" customHeight="1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1"/>
      <c r="M21" s="16"/>
      <c r="N21" s="17"/>
      <c r="O21" s="1"/>
      <c r="P21" s="1"/>
      <c r="Q21" s="1"/>
    </row>
    <row r="22" spans="1:17" ht="15.75" x14ac:dyDescent="0.25">
      <c r="A22" s="51"/>
      <c r="B22" s="52"/>
      <c r="C22" s="52"/>
      <c r="D22" s="54"/>
      <c r="E22" s="52"/>
      <c r="F22" s="52"/>
      <c r="G22" s="52"/>
      <c r="H22" s="52"/>
      <c r="I22" s="52"/>
      <c r="J22" s="52"/>
      <c r="K22" s="52"/>
      <c r="L22" s="1"/>
      <c r="M22" s="16"/>
      <c r="N22" s="17"/>
      <c r="O22" s="1"/>
      <c r="P22" s="1"/>
      <c r="Q22" s="1"/>
    </row>
    <row r="23" spans="1:17" x14ac:dyDescent="0.25">
      <c r="A23" s="51"/>
      <c r="B23" s="56"/>
      <c r="C23" s="52"/>
      <c r="D23" s="52"/>
      <c r="E23" s="52"/>
      <c r="F23" s="52"/>
      <c r="G23" s="52"/>
      <c r="H23" s="52"/>
      <c r="I23" s="52"/>
      <c r="J23" s="52"/>
      <c r="K23" s="52"/>
    </row>
    <row r="24" spans="1:17" x14ac:dyDescent="0.25">
      <c r="A24" s="51"/>
      <c r="B24" s="52"/>
      <c r="C24" s="52"/>
      <c r="D24" s="55"/>
      <c r="E24" s="52"/>
      <c r="F24" s="52"/>
      <c r="G24" s="52"/>
      <c r="H24" s="52"/>
      <c r="I24" s="52"/>
      <c r="J24" s="52"/>
      <c r="K24" s="52"/>
    </row>
    <row r="25" spans="1:17" x14ac:dyDescent="0.2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7" x14ac:dyDescent="0.2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7" x14ac:dyDescent="0.2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7" x14ac:dyDescent="0.2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7" x14ac:dyDescent="0.2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7" x14ac:dyDescent="0.25">
      <c r="A30" s="53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7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7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6" spans="1:1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1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43" spans="1:1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4" spans="1:11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</row>
    <row r="45" spans="1:11" x14ac:dyDescent="0.25">
      <c r="A45" s="52"/>
      <c r="D45" s="52"/>
      <c r="E45" s="52"/>
      <c r="F45" s="52"/>
      <c r="G45" s="52"/>
      <c r="H45" s="52"/>
      <c r="I45" s="52"/>
      <c r="J45" s="52"/>
      <c r="K45" s="52"/>
    </row>
  </sheetData>
  <mergeCells count="3">
    <mergeCell ref="A16:B16"/>
    <mergeCell ref="A17:B17"/>
    <mergeCell ref="A15:B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13" workbookViewId="0">
      <selection activeCell="F2" sqref="F2"/>
    </sheetView>
  </sheetViews>
  <sheetFormatPr baseColWidth="10" defaultRowHeight="15" x14ac:dyDescent="0.25"/>
  <cols>
    <col min="1" max="1" width="15.5703125" style="2" customWidth="1"/>
    <col min="2" max="2" width="16.5703125" style="2" customWidth="1"/>
    <col min="3" max="5" width="18.7109375" style="2" customWidth="1"/>
    <col min="6" max="8" width="20" style="2" customWidth="1"/>
    <col min="9" max="9" width="19.85546875" style="2" customWidth="1"/>
    <col min="10" max="10" width="25.85546875" style="2" customWidth="1"/>
    <col min="11" max="11" width="16" style="2" customWidth="1"/>
    <col min="12" max="12" width="4.7109375" style="2" customWidth="1"/>
    <col min="13" max="13" width="15.28515625" style="2" customWidth="1"/>
    <col min="14" max="14" width="16.28515625" style="2" customWidth="1"/>
    <col min="15" max="15" width="8.140625" style="2" customWidth="1"/>
    <col min="16" max="16" width="18" style="2" customWidth="1"/>
    <col min="17" max="17" width="13.85546875" style="2" customWidth="1"/>
    <col min="18" max="16384" width="11.42578125" style="2"/>
  </cols>
  <sheetData>
    <row r="1" spans="1:17" ht="27.75" customHeight="1" thickBot="1" x14ac:dyDescent="0.3">
      <c r="A1" s="4" t="s">
        <v>35</v>
      </c>
      <c r="B1" s="5" t="s">
        <v>10</v>
      </c>
      <c r="C1" s="5" t="s">
        <v>0</v>
      </c>
      <c r="D1" s="6" t="s">
        <v>1</v>
      </c>
      <c r="E1" s="6" t="s">
        <v>2</v>
      </c>
      <c r="F1" s="6" t="s">
        <v>3</v>
      </c>
      <c r="G1" s="6" t="s">
        <v>5</v>
      </c>
      <c r="H1" s="7" t="s">
        <v>11</v>
      </c>
      <c r="I1" s="7" t="s">
        <v>9</v>
      </c>
      <c r="J1" s="7" t="s">
        <v>18</v>
      </c>
      <c r="K1" s="7" t="s">
        <v>21</v>
      </c>
      <c r="L1" s="8"/>
      <c r="M1" s="1"/>
      <c r="N1" s="1"/>
      <c r="O1" s="1"/>
      <c r="P1" s="1"/>
      <c r="Q1" s="1"/>
    </row>
    <row r="2" spans="1:17" ht="18" customHeight="1" thickBot="1" x14ac:dyDescent="0.3">
      <c r="A2" s="9" t="s">
        <v>4</v>
      </c>
      <c r="B2" s="10"/>
      <c r="C2" s="11">
        <f ca="1">WORKDAY(TODAY(),2)</f>
        <v>44480</v>
      </c>
      <c r="D2" s="12"/>
      <c r="E2" s="12"/>
      <c r="F2" s="82">
        <f>-'Curva de rendimientos'!C7</f>
        <v>-124</v>
      </c>
      <c r="G2" s="13"/>
      <c r="H2" s="13"/>
      <c r="I2" s="1"/>
      <c r="J2" s="1"/>
      <c r="K2" s="1"/>
      <c r="L2" s="1"/>
      <c r="M2" s="14"/>
      <c r="N2" s="15"/>
      <c r="O2" s="1"/>
      <c r="P2" s="1"/>
      <c r="Q2" s="1"/>
    </row>
    <row r="3" spans="1:17" ht="18" customHeight="1" thickTop="1" thickBot="1" x14ac:dyDescent="0.35">
      <c r="A3" s="43">
        <v>2.2499999999999999E-2</v>
      </c>
      <c r="B3" s="25">
        <f ca="1">DAYS360($C$2,C3)/360</f>
        <v>7.7777777777777779E-2</v>
      </c>
      <c r="C3" s="26">
        <v>44509</v>
      </c>
      <c r="D3" s="27">
        <f>$A$3/360*DAYS360($Q$3,C3)*($C$21-SUM(E1:E2))</f>
        <v>4.1384011924892556</v>
      </c>
      <c r="E3" s="13"/>
      <c r="F3" s="68">
        <f>+D3+E3</f>
        <v>4.1384011924892556</v>
      </c>
      <c r="G3" s="68">
        <f ca="1">F3/((1+$O$4)^(B3))</f>
        <v>4.1127480968162935</v>
      </c>
      <c r="H3" s="28">
        <f ca="1">+G3/$G$18</f>
        <v>3.3160554952498034E-2</v>
      </c>
      <c r="I3" s="27">
        <f ca="1">+H3*B3</f>
        <v>2.5791542740831804E-3</v>
      </c>
      <c r="J3" s="27">
        <f ca="1">G3*B3*(1+B3)</f>
        <v>0.34475999478250163</v>
      </c>
      <c r="K3" s="27">
        <f ca="1">(B3*F3)/$F$18</f>
        <v>1.8227491345770915E-3</v>
      </c>
      <c r="L3" s="1"/>
      <c r="M3" s="29" t="s">
        <v>14</v>
      </c>
      <c r="N3" s="30">
        <f>'Curva de rendimientos'!C6</f>
        <v>131.9</v>
      </c>
      <c r="O3" s="31"/>
      <c r="P3" s="29" t="s">
        <v>29</v>
      </c>
      <c r="Q3" s="32">
        <v>44078</v>
      </c>
    </row>
    <row r="4" spans="1:17" ht="18" customHeight="1" thickBot="1" x14ac:dyDescent="0.35">
      <c r="A4" s="43"/>
      <c r="B4" s="25">
        <f t="shared" ref="B4:B17" ca="1" si="0">DAYS360($C$2,C4)/360</f>
        <v>0.57777777777777772</v>
      </c>
      <c r="C4" s="26">
        <f>EDATE(C3,6)</f>
        <v>44690</v>
      </c>
      <c r="D4" s="27">
        <f>$A$3/360*DAYS360(C3,C4)*($C$21-SUM($E$2:E3))</f>
        <v>1.7527346227013318</v>
      </c>
      <c r="E4" s="13"/>
      <c r="F4" s="68">
        <f t="shared" ref="F4:F17" si="1">+D4+E4</f>
        <v>1.7527346227013318</v>
      </c>
      <c r="G4" s="68">
        <f t="shared" ref="G4:G17" ca="1" si="2">F4/((1+$O$4)^(B4))</f>
        <v>1.6736145909050633</v>
      </c>
      <c r="H4" s="28">
        <f ca="1">+G4/$G$18</f>
        <v>1.3494137570441342E-2</v>
      </c>
      <c r="I4" s="27">
        <f t="shared" ref="I4:I17" ca="1" si="3">+H4*B4</f>
        <v>7.7966128184772188E-3</v>
      </c>
      <c r="J4" s="27">
        <f t="shared" ref="J4:J17" ca="1" si="4">G4*B4*(1+B4)</f>
        <v>1.5256753258324673</v>
      </c>
      <c r="K4" s="27">
        <f t="shared" ref="K4:K17" ca="1" si="5">(B4*F4)/$F$18</f>
        <v>5.7347670250896057E-3</v>
      </c>
      <c r="L4" s="27"/>
      <c r="M4" s="29" t="s">
        <v>12</v>
      </c>
      <c r="N4" s="33">
        <f ca="1">((1+O4)^(1/2)-1)*2</f>
        <v>8.1566200064071115E-2</v>
      </c>
      <c r="O4" s="34">
        <f ca="1">XIRR(F2:F17,C2:C17)</f>
        <v>8.3229461312294029E-2</v>
      </c>
      <c r="P4" s="29" t="s">
        <v>15</v>
      </c>
      <c r="Q4" s="35">
        <f ca="1">(D3/DAYS360(Q3,C3))*DAYS360(Q3,C2)</f>
        <v>3.8657535845134929</v>
      </c>
    </row>
    <row r="5" spans="1:17" ht="18" customHeight="1" thickBot="1" x14ac:dyDescent="0.35">
      <c r="A5" s="43"/>
      <c r="B5" s="25">
        <f t="shared" ca="1" si="0"/>
        <v>1.0777777777777777</v>
      </c>
      <c r="C5" s="26">
        <f t="shared" ref="C5:C17" si="6">EDATE(C4,6)</f>
        <v>44874</v>
      </c>
      <c r="D5" s="27">
        <f>$A$3/360*DAYS360(C4,C5)*($C$21-SUM($E$2:E4))</f>
        <v>1.7527346227013318</v>
      </c>
      <c r="E5" s="13"/>
      <c r="F5" s="68">
        <f t="shared" si="1"/>
        <v>1.7527346227013318</v>
      </c>
      <c r="G5" s="68">
        <f t="shared" ca="1" si="2"/>
        <v>1.6080339802342574</v>
      </c>
      <c r="H5" s="28">
        <f ca="1">+G5/$G$18</f>
        <v>1.2965369604892691E-2</v>
      </c>
      <c r="I5" s="27">
        <f t="shared" ca="1" si="3"/>
        <v>1.3973787240828789E-2</v>
      </c>
      <c r="J5" s="27">
        <f t="shared" ca="1" si="4"/>
        <v>3.60100350215669</v>
      </c>
      <c r="K5" s="27">
        <f t="shared" ca="1" si="5"/>
        <v>1.0697546181417149E-2</v>
      </c>
      <c r="L5" s="27"/>
      <c r="M5" s="29" t="s">
        <v>6</v>
      </c>
      <c r="N5" s="36">
        <f ca="1">I18</f>
        <v>4.3006959147464654</v>
      </c>
      <c r="O5" s="31"/>
      <c r="P5" s="29" t="s">
        <v>17</v>
      </c>
      <c r="Q5" s="30">
        <f ca="1">(C21-SUM(E2:E2))+Q4</f>
        <v>159.66438671352077</v>
      </c>
    </row>
    <row r="6" spans="1:17" ht="18.75" customHeight="1" thickBot="1" x14ac:dyDescent="0.35">
      <c r="A6" s="43"/>
      <c r="B6" s="25">
        <f t="shared" ca="1" si="0"/>
        <v>1.5777777777777777</v>
      </c>
      <c r="C6" s="26">
        <f t="shared" si="6"/>
        <v>45055</v>
      </c>
      <c r="D6" s="27">
        <f>$A$3/360*DAYS360(C5,C6)*($C$21-SUM($E$2:E5))</f>
        <v>1.7527346227013318</v>
      </c>
      <c r="E6" s="13"/>
      <c r="F6" s="68">
        <f t="shared" si="1"/>
        <v>1.7527346227013318</v>
      </c>
      <c r="G6" s="68">
        <f t="shared" ca="1" si="2"/>
        <v>1.5450231466909501</v>
      </c>
      <c r="H6" s="28">
        <f ca="1">+G6/$G$18</f>
        <v>1.2457321419317449E-2</v>
      </c>
      <c r="I6" s="27">
        <f t="shared" ca="1" si="3"/>
        <v>1.9654884906034197E-2</v>
      </c>
      <c r="J6" s="27">
        <f t="shared" ca="1" si="4"/>
        <v>6.2838571042699565</v>
      </c>
      <c r="K6" s="27">
        <f t="shared" ca="1" si="5"/>
        <v>1.5660325337744693E-2</v>
      </c>
      <c r="L6" s="27"/>
      <c r="M6" s="29" t="s">
        <v>7</v>
      </c>
      <c r="N6" s="37">
        <f ca="1">N5/(1+N4/2)</f>
        <v>4.1321730864135757</v>
      </c>
      <c r="O6" s="31"/>
      <c r="P6" s="29" t="s">
        <v>16</v>
      </c>
      <c r="Q6" s="38">
        <f ca="1">N3/Q5</f>
        <v>0.82610782977335295</v>
      </c>
    </row>
    <row r="7" spans="1:17" ht="18.75" customHeight="1" thickBot="1" x14ac:dyDescent="0.35">
      <c r="A7" s="43"/>
      <c r="B7" s="25">
        <f t="shared" ca="1" si="0"/>
        <v>2.0777777777777779</v>
      </c>
      <c r="C7" s="26">
        <f t="shared" si="6"/>
        <v>45239</v>
      </c>
      <c r="D7" s="27">
        <f>$A$3/360*DAYS360(C6,C7)*($C$21-SUM($E$2:E6))</f>
        <v>1.7527346227013318</v>
      </c>
      <c r="E7" s="13"/>
      <c r="F7" s="68">
        <f t="shared" si="1"/>
        <v>1.7527346227013318</v>
      </c>
      <c r="G7" s="68">
        <f t="shared" ca="1" si="2"/>
        <v>1.4844813935231982</v>
      </c>
      <c r="H7" s="28">
        <f ca="1">+G7/$G$18</f>
        <v>1.1969181108853527E-2</v>
      </c>
      <c r="I7" s="27">
        <f t="shared" ca="1" si="3"/>
        <v>2.4869298526173443E-2</v>
      </c>
      <c r="J7" s="27">
        <f t="shared" ca="1" si="4"/>
        <v>9.4931668769269333</v>
      </c>
      <c r="K7" s="27">
        <f t="shared" ca="1" si="5"/>
        <v>2.0623104494072238E-2</v>
      </c>
      <c r="L7" s="27"/>
      <c r="M7" s="29" t="s">
        <v>19</v>
      </c>
      <c r="N7" s="37">
        <f ca="1">J18/N3</f>
        <v>20.69020923502881</v>
      </c>
      <c r="O7" s="31"/>
      <c r="P7" s="31"/>
      <c r="Q7" s="31"/>
    </row>
    <row r="8" spans="1:17" ht="18.75" customHeight="1" thickBot="1" x14ac:dyDescent="0.35">
      <c r="A8" s="43"/>
      <c r="B8" s="25">
        <f t="shared" ca="1" si="0"/>
        <v>2.5777777777777779</v>
      </c>
      <c r="C8" s="26">
        <f t="shared" si="6"/>
        <v>45421</v>
      </c>
      <c r="D8" s="27">
        <f>$A$3/360*DAYS360(C7,C8)*($C$21-SUM($E$2:E7))</f>
        <v>1.7527346227013318</v>
      </c>
      <c r="E8" s="27">
        <f t="shared" ref="E8:E12" si="7">$C$21/10</f>
        <v>15.579863312900727</v>
      </c>
      <c r="F8" s="68">
        <f t="shared" si="1"/>
        <v>17.33259793560206</v>
      </c>
      <c r="G8" s="68">
        <f t="shared" ca="1" si="2"/>
        <v>14.104640590072995</v>
      </c>
      <c r="H8" s="28">
        <f t="shared" ref="H8:H17" ca="1" si="8">+G8/$G$18</f>
        <v>0.11372388932218178</v>
      </c>
      <c r="I8" s="27">
        <f t="shared" ca="1" si="3"/>
        <v>0.29315491469717969</v>
      </c>
      <c r="J8" s="27">
        <f t="shared" ca="1" si="4"/>
        <v>130.08309514084112</v>
      </c>
      <c r="K8" s="27">
        <f t="shared" ca="1" si="5"/>
        <v>0.25301596054284231</v>
      </c>
      <c r="L8" s="27"/>
      <c r="M8" s="29" t="s">
        <v>22</v>
      </c>
      <c r="N8" s="37">
        <f ca="1">K18</f>
        <v>4.5365591397849458</v>
      </c>
      <c r="O8" s="31"/>
      <c r="P8" s="31"/>
      <c r="Q8" s="31"/>
    </row>
    <row r="9" spans="1:17" ht="18" customHeight="1" x14ac:dyDescent="0.3">
      <c r="A9" s="43"/>
      <c r="B9" s="25">
        <f t="shared" ca="1" si="0"/>
        <v>3.0777777777777779</v>
      </c>
      <c r="C9" s="26">
        <f t="shared" si="6"/>
        <v>45605</v>
      </c>
      <c r="D9" s="27">
        <f>$A$3/360*DAYS360(C8,C9)*($C$21-SUM($E$2:E8))</f>
        <v>1.5774611604311986</v>
      </c>
      <c r="E9" s="27">
        <f t="shared" si="7"/>
        <v>15.579863312900727</v>
      </c>
      <c r="F9" s="68">
        <f t="shared" si="1"/>
        <v>17.157324473331926</v>
      </c>
      <c r="G9" s="68">
        <f t="shared" ca="1" si="2"/>
        <v>13.41490786376621</v>
      </c>
      <c r="H9" s="28">
        <f t="shared" ca="1" si="8"/>
        <v>0.1081626637292655</v>
      </c>
      <c r="I9" s="27">
        <f t="shared" ca="1" si="3"/>
        <v>0.33290064281118381</v>
      </c>
      <c r="J9" s="27">
        <f t="shared" ca="1" si="4"/>
        <v>168.36371833612458</v>
      </c>
      <c r="K9" s="27">
        <f t="shared" ca="1" si="5"/>
        <v>0.2990374659191864</v>
      </c>
      <c r="L9" s="27"/>
      <c r="M9" s="39"/>
      <c r="N9" s="40"/>
      <c r="O9" s="31"/>
      <c r="P9" s="31"/>
      <c r="Q9" s="31"/>
    </row>
    <row r="10" spans="1:17" ht="18" customHeight="1" x14ac:dyDescent="0.3">
      <c r="A10" s="43"/>
      <c r="B10" s="25">
        <f t="shared" ca="1" si="0"/>
        <v>3.5777777777777779</v>
      </c>
      <c r="C10" s="26">
        <f t="shared" si="6"/>
        <v>45786</v>
      </c>
      <c r="D10" s="27">
        <f>$A$3/360*DAYS360(C9,C10)*($C$21-SUM($E$2:E9))</f>
        <v>1.4021876981610655</v>
      </c>
      <c r="E10" s="27">
        <f t="shared" si="7"/>
        <v>15.579863312900727</v>
      </c>
      <c r="F10" s="68">
        <f t="shared" si="1"/>
        <v>16.982051011061792</v>
      </c>
      <c r="G10" s="68">
        <f t="shared" ca="1" si="2"/>
        <v>12.757572323942128</v>
      </c>
      <c r="H10" s="28">
        <f t="shared" ca="1" si="8"/>
        <v>0.10286265245275672</v>
      </c>
      <c r="I10" s="27">
        <f t="shared" ca="1" si="3"/>
        <v>0.36801971210875184</v>
      </c>
      <c r="J10" s="27">
        <f t="shared" ca="1" si="4"/>
        <v>208.94698454116772</v>
      </c>
      <c r="K10" s="27">
        <f t="shared" ca="1" si="5"/>
        <v>0.34406641546426492</v>
      </c>
      <c r="L10" s="27"/>
      <c r="M10" s="41"/>
      <c r="N10" s="42"/>
      <c r="O10" s="31"/>
      <c r="P10" s="31"/>
      <c r="Q10" s="31"/>
    </row>
    <row r="11" spans="1:17" ht="18" customHeight="1" x14ac:dyDescent="0.3">
      <c r="A11" s="43"/>
      <c r="B11" s="25">
        <f t="shared" ca="1" si="0"/>
        <v>4.0777777777777775</v>
      </c>
      <c r="C11" s="26">
        <f t="shared" si="6"/>
        <v>45970</v>
      </c>
      <c r="D11" s="27">
        <f>$A$3/360*DAYS360(C10,C11)*($C$21-SUM($E$2:E10))</f>
        <v>1.2269142358909322</v>
      </c>
      <c r="E11" s="27">
        <f t="shared" si="7"/>
        <v>15.579863312900727</v>
      </c>
      <c r="F11" s="68">
        <f t="shared" si="1"/>
        <v>16.806777548791658</v>
      </c>
      <c r="G11" s="68">
        <f t="shared" ca="1" si="2"/>
        <v>12.131154062875028</v>
      </c>
      <c r="H11" s="28">
        <f t="shared" ca="1" si="8"/>
        <v>9.7811923188437344E-2</v>
      </c>
      <c r="I11" s="27">
        <f t="shared" ca="1" si="3"/>
        <v>0.3988552867795167</v>
      </c>
      <c r="J11" s="27">
        <f t="shared" ca="1" si="4"/>
        <v>251.18827509522674</v>
      </c>
      <c r="K11" s="27">
        <f t="shared" ca="1" si="5"/>
        <v>0.38810280917807788</v>
      </c>
      <c r="L11" s="27"/>
      <c r="M11" s="41"/>
      <c r="N11" s="42"/>
      <c r="O11" s="31"/>
      <c r="P11" s="31"/>
      <c r="Q11" s="31"/>
    </row>
    <row r="12" spans="1:17" ht="18" customHeight="1" x14ac:dyDescent="0.3">
      <c r="A12" s="43"/>
      <c r="B12" s="25">
        <f t="shared" ca="1" si="0"/>
        <v>4.5777777777777775</v>
      </c>
      <c r="C12" s="26">
        <f t="shared" si="6"/>
        <v>46151</v>
      </c>
      <c r="D12" s="27">
        <f>$A$3/360*DAYS360(C11,C12)*($C$21-SUM($E$2:E11))</f>
        <v>1.0516407736207991</v>
      </c>
      <c r="E12" s="27">
        <f t="shared" si="7"/>
        <v>15.579863312900727</v>
      </c>
      <c r="F12" s="68">
        <f t="shared" si="1"/>
        <v>16.631504086521527</v>
      </c>
      <c r="G12" s="68">
        <f t="shared" ca="1" si="2"/>
        <v>11.534239408492594</v>
      </c>
      <c r="H12" s="28">
        <f t="shared" ca="1" si="8"/>
        <v>9.2999077681579598E-2</v>
      </c>
      <c r="I12" s="27">
        <f t="shared" ca="1" si="3"/>
        <v>0.42572911116456436</v>
      </c>
      <c r="J12" s="27">
        <f t="shared" ca="1" si="4"/>
        <v>294.51327548420642</v>
      </c>
      <c r="K12" s="27">
        <f t="shared" ca="1" si="5"/>
        <v>0.43114664706062555</v>
      </c>
      <c r="L12" s="27"/>
      <c r="M12" s="41"/>
      <c r="N12" s="42"/>
      <c r="O12" s="31"/>
      <c r="P12" s="31"/>
      <c r="Q12" s="31"/>
    </row>
    <row r="13" spans="1:17" ht="18" customHeight="1" x14ac:dyDescent="0.3">
      <c r="A13" s="43"/>
      <c r="B13" s="25">
        <f t="shared" ca="1" si="0"/>
        <v>5.0777777777777775</v>
      </c>
      <c r="C13" s="26">
        <f t="shared" si="6"/>
        <v>46335</v>
      </c>
      <c r="D13" s="27">
        <f>$A$3/360*DAYS360(C12,C13)*($C$21-SUM($E$2:E12))</f>
        <v>0.87636731135066592</v>
      </c>
      <c r="E13" s="27">
        <f>$C$21/10</f>
        <v>15.579863312900727</v>
      </c>
      <c r="F13" s="68">
        <f t="shared" si="1"/>
        <v>16.456230624251393</v>
      </c>
      <c r="G13" s="68">
        <f t="shared" ca="1" si="2"/>
        <v>10.965478005832873</v>
      </c>
      <c r="H13" s="28">
        <f t="shared" ca="1" si="8"/>
        <v>8.8413228195111521E-2</v>
      </c>
      <c r="I13" s="27">
        <f t="shared" ca="1" si="3"/>
        <v>0.44894272539073293</v>
      </c>
      <c r="J13" s="27">
        <f t="shared" ca="1" si="4"/>
        <v>338.41225017532042</v>
      </c>
      <c r="K13" s="27">
        <f t="shared" ca="1" si="5"/>
        <v>0.47319792911190761</v>
      </c>
      <c r="L13" s="27"/>
      <c r="M13" s="41"/>
      <c r="N13" s="42"/>
      <c r="O13" s="31"/>
      <c r="P13" s="31"/>
      <c r="Q13" s="31"/>
    </row>
    <row r="14" spans="1:17" ht="18" customHeight="1" x14ac:dyDescent="0.3">
      <c r="A14" s="43"/>
      <c r="B14" s="25">
        <f t="shared" ca="1" si="0"/>
        <v>5.5777777777777775</v>
      </c>
      <c r="C14" s="26">
        <f t="shared" si="6"/>
        <v>46516</v>
      </c>
      <c r="D14" s="27">
        <f>$A$3/360*DAYS360(C13,C14)*($C$21-SUM($E$2:E13))</f>
        <v>0.70109384908053274</v>
      </c>
      <c r="E14" s="27">
        <f t="shared" ref="E14:E17" si="9">$C$21/10</f>
        <v>15.579863312900727</v>
      </c>
      <c r="F14" s="68">
        <f t="shared" si="1"/>
        <v>16.280957161981259</v>
      </c>
      <c r="G14" s="68">
        <f t="shared" ca="1" si="2"/>
        <v>10.423580025525053</v>
      </c>
      <c r="H14" s="28">
        <f t="shared" ca="1" si="8"/>
        <v>8.4043975001959342E-2</v>
      </c>
      <c r="I14" s="27">
        <f t="shared" ca="1" si="3"/>
        <v>0.46877861612203986</v>
      </c>
      <c r="J14" s="27">
        <f t="shared" ca="1" si="4"/>
        <v>382.43471682785645</v>
      </c>
      <c r="K14" s="27">
        <f t="shared" ca="1" si="5"/>
        <v>0.51425665533192411</v>
      </c>
      <c r="L14" s="27"/>
      <c r="M14" s="41"/>
      <c r="N14" s="42"/>
      <c r="O14" s="31"/>
      <c r="P14" s="31"/>
      <c r="Q14" s="31"/>
    </row>
    <row r="15" spans="1:17" ht="18" customHeight="1" x14ac:dyDescent="0.3">
      <c r="A15" s="43"/>
      <c r="B15" s="25">
        <f t="shared" ca="1" si="0"/>
        <v>6.0777777777777775</v>
      </c>
      <c r="C15" s="26">
        <f t="shared" si="6"/>
        <v>46700</v>
      </c>
      <c r="D15" s="27">
        <f>$A$3/360*DAYS360(C14,C15)*($C$21-SUM($E$2:E14))</f>
        <v>0.52582038681039955</v>
      </c>
      <c r="E15" s="27">
        <f t="shared" si="9"/>
        <v>15.579863312900727</v>
      </c>
      <c r="F15" s="68">
        <f t="shared" si="1"/>
        <v>16.105683699711125</v>
      </c>
      <c r="G15" s="68">
        <f t="shared" ca="1" si="2"/>
        <v>9.9073134938203697</v>
      </c>
      <c r="H15" s="28">
        <f t="shared" ca="1" si="8"/>
        <v>7.9881384857432569E-2</v>
      </c>
      <c r="I15" s="27">
        <f t="shared" ca="1" si="3"/>
        <v>0.48550130574461792</v>
      </c>
      <c r="J15" s="27">
        <f t="shared" ca="1" si="4"/>
        <v>426.18449462633032</v>
      </c>
      <c r="K15" s="27">
        <f t="shared" ca="1" si="5"/>
        <v>0.55432282572067515</v>
      </c>
      <c r="L15" s="27"/>
      <c r="M15" s="41"/>
      <c r="N15" s="42"/>
      <c r="O15" s="31"/>
      <c r="P15" s="31"/>
      <c r="Q15" s="31"/>
    </row>
    <row r="16" spans="1:17" ht="18" customHeight="1" x14ac:dyDescent="0.3">
      <c r="A16" s="43"/>
      <c r="B16" s="25">
        <f t="shared" ca="1" si="0"/>
        <v>6.5777777777777775</v>
      </c>
      <c r="C16" s="26">
        <f t="shared" si="6"/>
        <v>46882</v>
      </c>
      <c r="D16" s="27">
        <f>$A$3/360*DAYS360(C15,C16)*($C$21-SUM($E$2:E15))</f>
        <v>0.35054692454026637</v>
      </c>
      <c r="E16" s="27">
        <f t="shared" si="9"/>
        <v>15.579863312900727</v>
      </c>
      <c r="F16" s="68">
        <f t="shared" si="1"/>
        <v>15.930410237440993</v>
      </c>
      <c r="G16" s="68">
        <f t="shared" ca="1" si="2"/>
        <v>9.4155017389336937</v>
      </c>
      <c r="H16" s="28">
        <f t="shared" ca="1" si="8"/>
        <v>7.5915970409407216E-2</v>
      </c>
      <c r="I16" s="27">
        <f t="shared" ca="1" si="3"/>
        <v>0.49935838313743414</v>
      </c>
      <c r="J16" s="27">
        <f t="shared" ca="1" si="4"/>
        <v>469.31510297333887</v>
      </c>
      <c r="K16" s="27">
        <f t="shared" ca="1" si="5"/>
        <v>0.59339644027816074</v>
      </c>
      <c r="L16" s="27"/>
      <c r="M16" s="41"/>
      <c r="N16" s="42"/>
      <c r="O16" s="31"/>
      <c r="P16" s="31"/>
      <c r="Q16" s="31"/>
    </row>
    <row r="17" spans="1:17" ht="18" customHeight="1" x14ac:dyDescent="0.25">
      <c r="A17" s="24"/>
      <c r="B17" s="25">
        <f t="shared" ca="1" si="0"/>
        <v>7.0777777777777775</v>
      </c>
      <c r="C17" s="26">
        <f t="shared" si="6"/>
        <v>47066</v>
      </c>
      <c r="D17" s="27">
        <f>$A$3/360*DAYS360(C16,C17)*($C$21-SUM($E$2:E16))</f>
        <v>0.17527346227013318</v>
      </c>
      <c r="E17" s="27">
        <f t="shared" si="9"/>
        <v>15.579863312900727</v>
      </c>
      <c r="F17" s="68">
        <f t="shared" si="1"/>
        <v>15.755136775170861</v>
      </c>
      <c r="G17" s="68">
        <f t="shared" ca="1" si="2"/>
        <v>8.9470209486800396</v>
      </c>
      <c r="H17" s="28">
        <f t="shared" ca="1" si="8"/>
        <v>7.2138670505865393E-2</v>
      </c>
      <c r="I17" s="27">
        <f t="shared" ca="1" si="3"/>
        <v>0.5105814790248473</v>
      </c>
      <c r="J17" s="27">
        <f t="shared" ca="1" si="4"/>
        <v>511.52548818676263</v>
      </c>
      <c r="K17" s="27">
        <f t="shared" ca="1" si="5"/>
        <v>0.63147749900438066</v>
      </c>
      <c r="L17" s="27"/>
      <c r="M17" s="41"/>
      <c r="N17" s="42"/>
      <c r="O17" s="31"/>
      <c r="P17" s="31"/>
      <c r="Q17" s="31"/>
    </row>
    <row r="18" spans="1:17" ht="18" customHeight="1" thickBot="1" x14ac:dyDescent="0.3">
      <c r="A18" s="51"/>
      <c r="B18" s="31"/>
      <c r="C18" s="31"/>
      <c r="D18" s="31"/>
      <c r="E18" s="31"/>
      <c r="F18" s="62">
        <f>SUM(F3:F17)</f>
        <v>176.58801323715917</v>
      </c>
      <c r="G18" s="81">
        <f ca="1">SUM(G3:G17)</f>
        <v>124.02530967011074</v>
      </c>
      <c r="H18" s="61">
        <f ca="1">SUM(H3:H17)</f>
        <v>1</v>
      </c>
      <c r="I18" s="44">
        <f ca="1">SUM(I3:I17)</f>
        <v>4.3006959147464654</v>
      </c>
      <c r="J18" s="45">
        <f ca="1">SUM(J3:J17)/((1+O4)^2)</f>
        <v>2729.0385981003001</v>
      </c>
      <c r="K18" s="46">
        <f ca="1">SUM(K3:K17)</f>
        <v>4.5365591397849458</v>
      </c>
      <c r="L18" s="27"/>
      <c r="M18" s="41"/>
      <c r="N18" s="42"/>
      <c r="O18" s="31"/>
      <c r="P18" s="31"/>
      <c r="Q18" s="31"/>
    </row>
    <row r="19" spans="1:17" ht="18" customHeight="1" x14ac:dyDescent="0.25">
      <c r="A19" s="91" t="s">
        <v>26</v>
      </c>
      <c r="B19" s="92"/>
      <c r="C19" s="57">
        <v>22.7088</v>
      </c>
      <c r="D19" s="52"/>
      <c r="E19" s="52"/>
      <c r="F19" s="52"/>
      <c r="G19" s="52"/>
      <c r="H19" s="52"/>
      <c r="I19" s="52"/>
      <c r="J19" s="52"/>
      <c r="K19" s="52"/>
      <c r="L19" s="27"/>
      <c r="M19" s="41"/>
      <c r="N19" s="42"/>
      <c r="O19" s="31"/>
      <c r="P19" s="31"/>
      <c r="Q19" s="31"/>
    </row>
    <row r="20" spans="1:17" ht="18" customHeight="1" thickBot="1" x14ac:dyDescent="0.3">
      <c r="A20" s="93" t="s">
        <v>27</v>
      </c>
      <c r="B20" s="94"/>
      <c r="C20" s="58">
        <f>'Curva de rendimientos'!D9</f>
        <v>35.380000000000003</v>
      </c>
      <c r="D20" s="52"/>
      <c r="E20" s="52"/>
      <c r="F20" s="52"/>
      <c r="G20" s="52"/>
      <c r="H20" s="52"/>
      <c r="I20" s="52"/>
      <c r="J20" s="52"/>
      <c r="K20" s="52"/>
      <c r="L20" s="27"/>
      <c r="M20" s="41"/>
      <c r="N20" s="42"/>
      <c r="O20" s="31"/>
      <c r="P20" s="31"/>
      <c r="Q20" s="31"/>
    </row>
    <row r="21" spans="1:17" ht="18" customHeight="1" thickBot="1" x14ac:dyDescent="0.3">
      <c r="A21" s="95" t="s">
        <v>28</v>
      </c>
      <c r="B21" s="96"/>
      <c r="C21" s="59">
        <f>100*(1+(C20/C19-1))</f>
        <v>155.79863312900727</v>
      </c>
      <c r="D21" s="52"/>
      <c r="E21" s="52"/>
      <c r="F21" s="52"/>
      <c r="G21" s="52"/>
      <c r="H21" s="52"/>
      <c r="I21" s="52"/>
      <c r="J21" s="52"/>
      <c r="K21" s="52"/>
      <c r="L21" s="47"/>
      <c r="M21" s="16"/>
      <c r="N21" s="17"/>
      <c r="O21" s="1"/>
      <c r="P21" s="1"/>
      <c r="Q21" s="1"/>
    </row>
    <row r="22" spans="1:17" ht="15.75" x14ac:dyDescent="0.2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1"/>
      <c r="M22" s="16"/>
      <c r="N22" s="17"/>
      <c r="O22" s="1"/>
      <c r="P22" s="1"/>
      <c r="Q22" s="1"/>
    </row>
    <row r="23" spans="1:17" x14ac:dyDescent="0.2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"/>
    </row>
    <row r="24" spans="1:17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7" x14ac:dyDescent="0.2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7" x14ac:dyDescent="0.25">
      <c r="A26" s="51"/>
      <c r="B26" s="52"/>
      <c r="C26" s="52"/>
      <c r="D26" s="54"/>
      <c r="E26" s="52"/>
      <c r="F26" s="52"/>
      <c r="G26" s="52"/>
      <c r="H26" s="52"/>
      <c r="I26" s="52"/>
      <c r="J26" s="52"/>
      <c r="K26" s="52"/>
    </row>
    <row r="27" spans="1:17" x14ac:dyDescent="0.25">
      <c r="A27" s="51"/>
      <c r="B27" s="56"/>
      <c r="C27" s="52"/>
      <c r="D27" s="52"/>
      <c r="E27" s="52"/>
      <c r="F27" s="52"/>
      <c r="G27" s="52"/>
      <c r="H27" s="52"/>
      <c r="I27" s="52"/>
      <c r="J27" s="52"/>
      <c r="K27" s="52"/>
    </row>
    <row r="28" spans="1:17" x14ac:dyDescent="0.25">
      <c r="A28" s="51"/>
      <c r="B28" s="52"/>
      <c r="C28" s="52"/>
      <c r="D28" s="55"/>
      <c r="E28" s="52"/>
      <c r="F28" s="52"/>
      <c r="G28" s="52"/>
      <c r="H28" s="52"/>
      <c r="I28" s="52"/>
      <c r="J28" s="52"/>
      <c r="K28" s="52"/>
    </row>
    <row r="29" spans="1:17" x14ac:dyDescent="0.2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7" x14ac:dyDescent="0.2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7" x14ac:dyDescent="0.2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7" x14ac:dyDescent="0.2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x14ac:dyDescent="0.25">
      <c r="A33" s="53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6" spans="1:1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1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43" spans="1:1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4" spans="1:11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</row>
    <row r="45" spans="1:1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11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11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4:11" x14ac:dyDescent="0.25">
      <c r="D49" s="52"/>
      <c r="E49" s="52"/>
      <c r="F49" s="52"/>
      <c r="G49" s="52"/>
      <c r="H49" s="52"/>
      <c r="I49" s="52"/>
      <c r="J49" s="52"/>
      <c r="K49" s="52"/>
    </row>
  </sheetData>
  <mergeCells count="3">
    <mergeCell ref="A19:B19"/>
    <mergeCell ref="A20:B20"/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Curva de rendimientos</vt:lpstr>
      <vt:lpstr>TX22</vt:lpstr>
      <vt:lpstr>T2X2</vt:lpstr>
      <vt:lpstr>TX23</vt:lpstr>
      <vt:lpstr>TX24</vt:lpstr>
      <vt:lpstr>TX26</vt:lpstr>
      <vt:lpstr>TX28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2020-08-27T13:06:36Z</dcterms:created>
  <dcterms:modified xsi:type="dcterms:W3CDTF">2021-10-07T20:23:21Z</dcterms:modified>
</cp:coreProperties>
</file>