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ases y presentaciones 2021\Fundación BCBA\Avanzado\"/>
    </mc:Choice>
  </mc:AlternateContent>
  <bookViews>
    <workbookView xWindow="0" yWindow="0" windowWidth="20490" windowHeight="7320"/>
  </bookViews>
  <sheets>
    <sheet name="Curva de rendimientos" sheetId="16" r:id="rId1"/>
    <sheet name="GD29" sheetId="5" r:id="rId2"/>
    <sheet name="GD30 " sheetId="9" r:id="rId3"/>
    <sheet name="GD35 " sheetId="12" r:id="rId4"/>
    <sheet name="GD38 " sheetId="13" r:id="rId5"/>
    <sheet name="GD41" sheetId="14" r:id="rId6"/>
    <sheet name="GD46 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5" l="1"/>
  <c r="O4" i="15" s="1"/>
  <c r="N4" i="14"/>
  <c r="O4" i="14" s="1"/>
  <c r="N4" i="13"/>
  <c r="O4" i="13" s="1"/>
  <c r="N4" i="12"/>
  <c r="O4" i="12" s="1"/>
  <c r="N4" i="9"/>
  <c r="O4" i="9" s="1"/>
  <c r="N4" i="5"/>
  <c r="O4" i="5" s="1"/>
  <c r="C2" i="15" l="1"/>
  <c r="C2" i="14"/>
  <c r="C2" i="13"/>
  <c r="C2" i="12"/>
  <c r="B4" i="16" s="1"/>
  <c r="C2" i="9"/>
  <c r="C2" i="5"/>
  <c r="Q4" i="5" s="1"/>
  <c r="Q4" i="15" l="1"/>
  <c r="B7" i="16"/>
  <c r="Q4" i="14"/>
  <c r="B6" i="16"/>
  <c r="Q4" i="13"/>
  <c r="B5" i="16"/>
  <c r="Q4" i="12"/>
  <c r="Q4" i="9"/>
  <c r="N3" i="15" l="1"/>
  <c r="N3" i="14"/>
  <c r="N3" i="13"/>
  <c r="N3" i="12"/>
  <c r="Q5" i="5" l="1"/>
  <c r="D52" i="15" l="1"/>
  <c r="F52" i="15" s="1"/>
  <c r="D51" i="15"/>
  <c r="F51" i="15" s="1"/>
  <c r="D50" i="15"/>
  <c r="F50" i="15" s="1"/>
  <c r="D49" i="15"/>
  <c r="F49" i="15" s="1"/>
  <c r="D48" i="15"/>
  <c r="F48" i="15" s="1"/>
  <c r="D47" i="15"/>
  <c r="F47" i="15" s="1"/>
  <c r="D46" i="15"/>
  <c r="F46" i="15" s="1"/>
  <c r="D45" i="15"/>
  <c r="F45" i="15" s="1"/>
  <c r="D44" i="15"/>
  <c r="F44" i="15" s="1"/>
  <c r="D43" i="15"/>
  <c r="F43" i="15" s="1"/>
  <c r="D42" i="15"/>
  <c r="F42" i="15" s="1"/>
  <c r="D41" i="15"/>
  <c r="F41" i="15" s="1"/>
  <c r="D40" i="15"/>
  <c r="F40" i="15" s="1"/>
  <c r="D39" i="15"/>
  <c r="F39" i="15" s="1"/>
  <c r="D38" i="15"/>
  <c r="F38" i="15" s="1"/>
  <c r="D37" i="15"/>
  <c r="F37" i="15" s="1"/>
  <c r="D36" i="15"/>
  <c r="F36" i="15" s="1"/>
  <c r="D35" i="15"/>
  <c r="F35" i="15" s="1"/>
  <c r="D34" i="15"/>
  <c r="F34" i="15" s="1"/>
  <c r="D33" i="15"/>
  <c r="F33" i="15" s="1"/>
  <c r="D32" i="15"/>
  <c r="F32" i="15" s="1"/>
  <c r="D31" i="15"/>
  <c r="F31" i="15" s="1"/>
  <c r="D30" i="15"/>
  <c r="F30" i="15" s="1"/>
  <c r="D29" i="15"/>
  <c r="F29" i="15" s="1"/>
  <c r="D28" i="15"/>
  <c r="F28" i="15" s="1"/>
  <c r="D27" i="15"/>
  <c r="F27" i="15" s="1"/>
  <c r="D26" i="15"/>
  <c r="F26" i="15" s="1"/>
  <c r="D25" i="15"/>
  <c r="F25" i="15" s="1"/>
  <c r="D24" i="15"/>
  <c r="F24" i="15" s="1"/>
  <c r="D23" i="15"/>
  <c r="F23" i="15" s="1"/>
  <c r="D22" i="15"/>
  <c r="F22" i="15" s="1"/>
  <c r="D21" i="15"/>
  <c r="F21" i="15" s="1"/>
  <c r="D20" i="15"/>
  <c r="F20" i="15" s="1"/>
  <c r="D19" i="15"/>
  <c r="F19" i="15" s="1"/>
  <c r="D18" i="15"/>
  <c r="F18" i="15" s="1"/>
  <c r="D17" i="15"/>
  <c r="F17" i="15" s="1"/>
  <c r="D16" i="15"/>
  <c r="F16" i="15" s="1"/>
  <c r="D15" i="15"/>
  <c r="F15" i="15" s="1"/>
  <c r="D14" i="15"/>
  <c r="F14" i="15" s="1"/>
  <c r="D13" i="15"/>
  <c r="F13" i="15" s="1"/>
  <c r="D12" i="15"/>
  <c r="F12" i="15" s="1"/>
  <c r="D11" i="15"/>
  <c r="F11" i="15" s="1"/>
  <c r="D10" i="15"/>
  <c r="F10" i="15" s="1"/>
  <c r="D9" i="15"/>
  <c r="F9" i="15" s="1"/>
  <c r="D8" i="15"/>
  <c r="F8" i="15" s="1"/>
  <c r="D7" i="15"/>
  <c r="F7" i="15" s="1"/>
  <c r="D6" i="15"/>
  <c r="F6" i="15" s="1"/>
  <c r="D5" i="15"/>
  <c r="F5" i="15" s="1"/>
  <c r="D4" i="15"/>
  <c r="F4" i="15" s="1"/>
  <c r="F3" i="15"/>
  <c r="B3" i="15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D15" i="14"/>
  <c r="D14" i="14"/>
  <c r="F14" i="14" s="1"/>
  <c r="D13" i="14"/>
  <c r="F13" i="14" s="1"/>
  <c r="D12" i="14"/>
  <c r="F12" i="14" s="1"/>
  <c r="D11" i="14"/>
  <c r="F11" i="14" s="1"/>
  <c r="D10" i="14"/>
  <c r="F10" i="14" s="1"/>
  <c r="D9" i="14"/>
  <c r="F9" i="14" s="1"/>
  <c r="D8" i="14"/>
  <c r="F8" i="14" s="1"/>
  <c r="D7" i="14"/>
  <c r="F7" i="14" s="1"/>
  <c r="D6" i="14"/>
  <c r="F6" i="14" s="1"/>
  <c r="D5" i="14"/>
  <c r="F5" i="14" s="1"/>
  <c r="D4" i="14"/>
  <c r="F4" i="14" s="1"/>
  <c r="F3" i="14"/>
  <c r="C4" i="14"/>
  <c r="C5" i="14" s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B42" i="14" s="1"/>
  <c r="D35" i="13"/>
  <c r="F35" i="13" s="1"/>
  <c r="D34" i="13"/>
  <c r="F34" i="13" s="1"/>
  <c r="D33" i="13"/>
  <c r="F33" i="13" s="1"/>
  <c r="D32" i="13"/>
  <c r="F32" i="13" s="1"/>
  <c r="D31" i="13"/>
  <c r="F31" i="13" s="1"/>
  <c r="D30" i="13"/>
  <c r="F30" i="13" s="1"/>
  <c r="D29" i="13"/>
  <c r="F29" i="13" s="1"/>
  <c r="D28" i="13"/>
  <c r="F28" i="13" s="1"/>
  <c r="D27" i="13"/>
  <c r="F27" i="13" s="1"/>
  <c r="D26" i="13"/>
  <c r="F26" i="13" s="1"/>
  <c r="D25" i="13"/>
  <c r="F25" i="13" s="1"/>
  <c r="D24" i="13"/>
  <c r="F24" i="13" s="1"/>
  <c r="D23" i="13"/>
  <c r="F23" i="13" s="1"/>
  <c r="D22" i="13"/>
  <c r="F22" i="13" s="1"/>
  <c r="D21" i="13"/>
  <c r="F21" i="13" s="1"/>
  <c r="D20" i="13"/>
  <c r="F20" i="13" s="1"/>
  <c r="D19" i="13"/>
  <c r="F19" i="13" s="1"/>
  <c r="D18" i="13"/>
  <c r="F18" i="13" s="1"/>
  <c r="D17" i="13"/>
  <c r="F17" i="13" s="1"/>
  <c r="D16" i="13"/>
  <c r="F16" i="13" s="1"/>
  <c r="D15" i="13"/>
  <c r="F15" i="13" s="1"/>
  <c r="D14" i="13"/>
  <c r="F14" i="13" s="1"/>
  <c r="D13" i="13"/>
  <c r="F13" i="13" s="1"/>
  <c r="D12" i="13"/>
  <c r="F12" i="13" s="1"/>
  <c r="D11" i="13"/>
  <c r="F11" i="13" s="1"/>
  <c r="D10" i="13"/>
  <c r="F10" i="13" s="1"/>
  <c r="D9" i="13"/>
  <c r="F9" i="13" s="1"/>
  <c r="D8" i="13"/>
  <c r="F8" i="13" s="1"/>
  <c r="D7" i="13"/>
  <c r="F7" i="13" s="1"/>
  <c r="D6" i="13"/>
  <c r="F6" i="13" s="1"/>
  <c r="D5" i="13"/>
  <c r="F5" i="13" s="1"/>
  <c r="D4" i="13"/>
  <c r="F4" i="13" s="1"/>
  <c r="F3" i="13"/>
  <c r="F36" i="13" s="1"/>
  <c r="C4" i="13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  <c r="D4" i="12"/>
  <c r="F4" i="12" s="1"/>
  <c r="F3" i="12"/>
  <c r="C4" i="12"/>
  <c r="F15" i="14" l="1"/>
  <c r="F43" i="14" s="1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B35" i="13" s="1"/>
  <c r="K35" i="13" s="1"/>
  <c r="F31" i="12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B30" i="12" s="1"/>
  <c r="K30" i="12" s="1"/>
  <c r="C4" i="15"/>
  <c r="C5" i="15" s="1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2" i="15" s="1"/>
  <c r="C33" i="15" s="1"/>
  <c r="C34" i="15" s="1"/>
  <c r="C35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7" i="15" s="1"/>
  <c r="C48" i="15" s="1"/>
  <c r="C49" i="15" s="1"/>
  <c r="C50" i="15" s="1"/>
  <c r="C51" i="15" s="1"/>
  <c r="C52" i="15" s="1"/>
  <c r="B52" i="15" s="1"/>
  <c r="Q5" i="15"/>
  <c r="Q5" i="14"/>
  <c r="B4" i="13"/>
  <c r="Q5" i="13"/>
  <c r="Q5" i="12"/>
  <c r="B38" i="14"/>
  <c r="B14" i="14"/>
  <c r="B21" i="14"/>
  <c r="B36" i="14"/>
  <c r="B28" i="14"/>
  <c r="B20" i="14"/>
  <c r="B12" i="14"/>
  <c r="B4" i="14"/>
  <c r="B22" i="14"/>
  <c r="B29" i="14"/>
  <c r="B13" i="14"/>
  <c r="B5" i="14"/>
  <c r="B35" i="14"/>
  <c r="B27" i="14"/>
  <c r="B19" i="14"/>
  <c r="B11" i="14"/>
  <c r="B3" i="14"/>
  <c r="B30" i="14"/>
  <c r="B10" i="14"/>
  <c r="B41" i="14"/>
  <c r="B33" i="14"/>
  <c r="B25" i="14"/>
  <c r="B17" i="14"/>
  <c r="B9" i="14"/>
  <c r="B6" i="14"/>
  <c r="B37" i="14"/>
  <c r="B34" i="14"/>
  <c r="B18" i="14"/>
  <c r="B40" i="14"/>
  <c r="B32" i="14"/>
  <c r="B24" i="14"/>
  <c r="B16" i="14"/>
  <c r="B8" i="14"/>
  <c r="B26" i="14"/>
  <c r="B39" i="14"/>
  <c r="B31" i="14"/>
  <c r="B23" i="14"/>
  <c r="B15" i="14"/>
  <c r="B7" i="14"/>
  <c r="B9" i="13"/>
  <c r="B17" i="13"/>
  <c r="B10" i="13"/>
  <c r="B18" i="13"/>
  <c r="B3" i="13"/>
  <c r="B11" i="13"/>
  <c r="B19" i="13"/>
  <c r="B5" i="13"/>
  <c r="B13" i="13"/>
  <c r="B6" i="13"/>
  <c r="B16" i="13"/>
  <c r="B12" i="13"/>
  <c r="B20" i="13"/>
  <c r="B7" i="13"/>
  <c r="D42" i="14"/>
  <c r="F42" i="14" s="1"/>
  <c r="G42" i="14" s="1"/>
  <c r="J42" i="14" s="1"/>
  <c r="D16" i="14"/>
  <c r="F16" i="14" s="1"/>
  <c r="D17" i="14"/>
  <c r="F17" i="14" s="1"/>
  <c r="D18" i="14"/>
  <c r="F18" i="14" s="1"/>
  <c r="D19" i="14"/>
  <c r="F19" i="14" s="1"/>
  <c r="D21" i="14"/>
  <c r="F21" i="14" s="1"/>
  <c r="D23" i="14"/>
  <c r="F23" i="14" s="1"/>
  <c r="D25" i="14"/>
  <c r="F25" i="14" s="1"/>
  <c r="D27" i="14"/>
  <c r="F27" i="14" s="1"/>
  <c r="D29" i="14"/>
  <c r="F29" i="14" s="1"/>
  <c r="D31" i="14"/>
  <c r="F31" i="14" s="1"/>
  <c r="D33" i="14"/>
  <c r="F33" i="14" s="1"/>
  <c r="D35" i="14"/>
  <c r="F35" i="14" s="1"/>
  <c r="D37" i="14"/>
  <c r="F37" i="14" s="1"/>
  <c r="D39" i="14"/>
  <c r="F39" i="14" s="1"/>
  <c r="D41" i="14"/>
  <c r="F41" i="14" s="1"/>
  <c r="D20" i="14"/>
  <c r="F20" i="14" s="1"/>
  <c r="D22" i="14"/>
  <c r="F22" i="14" s="1"/>
  <c r="D24" i="14"/>
  <c r="F24" i="14" s="1"/>
  <c r="D26" i="14"/>
  <c r="F26" i="14" s="1"/>
  <c r="D28" i="14"/>
  <c r="F28" i="14" s="1"/>
  <c r="D30" i="14"/>
  <c r="F30" i="14" s="1"/>
  <c r="D32" i="14"/>
  <c r="F32" i="14" s="1"/>
  <c r="D34" i="14"/>
  <c r="F34" i="14" s="1"/>
  <c r="D36" i="14"/>
  <c r="F36" i="14" s="1"/>
  <c r="D38" i="14"/>
  <c r="F38" i="14" s="1"/>
  <c r="D40" i="14"/>
  <c r="F40" i="14" s="1"/>
  <c r="B4" i="12"/>
  <c r="K4" i="12" s="1"/>
  <c r="B3" i="12"/>
  <c r="B17" i="15" l="1"/>
  <c r="B20" i="15"/>
  <c r="B5" i="15"/>
  <c r="B15" i="15"/>
  <c r="B10" i="15"/>
  <c r="B13" i="15"/>
  <c r="B22" i="15"/>
  <c r="K22" i="15" s="1"/>
  <c r="B7" i="15"/>
  <c r="K26" i="14"/>
  <c r="K37" i="14"/>
  <c r="K30" i="14"/>
  <c r="K29" i="14"/>
  <c r="K16" i="14"/>
  <c r="K34" i="14"/>
  <c r="K19" i="14"/>
  <c r="K32" i="14"/>
  <c r="K25" i="14"/>
  <c r="K27" i="14"/>
  <c r="K20" i="14"/>
  <c r="K21" i="14"/>
  <c r="K33" i="14"/>
  <c r="K31" i="14"/>
  <c r="K18" i="14"/>
  <c r="K41" i="14"/>
  <c r="K36" i="14"/>
  <c r="K42" i="14"/>
  <c r="B29" i="13"/>
  <c r="K29" i="13" s="1"/>
  <c r="B21" i="13"/>
  <c r="K21" i="13" s="1"/>
  <c r="B28" i="13"/>
  <c r="K28" i="13" s="1"/>
  <c r="B8" i="13"/>
  <c r="K8" i="13" s="1"/>
  <c r="B26" i="13"/>
  <c r="K26" i="13" s="1"/>
  <c r="B32" i="13"/>
  <c r="K32" i="13" s="1"/>
  <c r="B34" i="13"/>
  <c r="K34" i="13" s="1"/>
  <c r="B30" i="13"/>
  <c r="K30" i="13" s="1"/>
  <c r="B24" i="13"/>
  <c r="K24" i="13" s="1"/>
  <c r="B23" i="13"/>
  <c r="K23" i="13" s="1"/>
  <c r="B22" i="13"/>
  <c r="K22" i="13" s="1"/>
  <c r="B31" i="13"/>
  <c r="K31" i="13" s="1"/>
  <c r="B15" i="13"/>
  <c r="K15" i="13" s="1"/>
  <c r="B14" i="13"/>
  <c r="K14" i="13" s="1"/>
  <c r="B27" i="13"/>
  <c r="K27" i="13" s="1"/>
  <c r="B33" i="13"/>
  <c r="K33" i="13" s="1"/>
  <c r="B25" i="13"/>
  <c r="K25" i="13" s="1"/>
  <c r="K3" i="12"/>
  <c r="B29" i="12"/>
  <c r="K29" i="12" s="1"/>
  <c r="B27" i="12"/>
  <c r="K27" i="12" s="1"/>
  <c r="B17" i="12"/>
  <c r="K17" i="12" s="1"/>
  <c r="B25" i="12"/>
  <c r="K25" i="12" s="1"/>
  <c r="B8" i="12"/>
  <c r="K8" i="12" s="1"/>
  <c r="B26" i="12"/>
  <c r="K26" i="12" s="1"/>
  <c r="B28" i="12"/>
  <c r="K28" i="12" s="1"/>
  <c r="B9" i="12"/>
  <c r="K9" i="12" s="1"/>
  <c r="B15" i="12"/>
  <c r="K15" i="12" s="1"/>
  <c r="B23" i="12"/>
  <c r="K23" i="12" s="1"/>
  <c r="B20" i="12"/>
  <c r="K20" i="12" s="1"/>
  <c r="B16" i="12"/>
  <c r="K16" i="12" s="1"/>
  <c r="B5" i="12"/>
  <c r="K5" i="12" s="1"/>
  <c r="B22" i="12"/>
  <c r="K22" i="12" s="1"/>
  <c r="B7" i="12"/>
  <c r="K7" i="12" s="1"/>
  <c r="B12" i="12"/>
  <c r="K12" i="12" s="1"/>
  <c r="B10" i="12"/>
  <c r="K10" i="12" s="1"/>
  <c r="B6" i="12"/>
  <c r="K6" i="12" s="1"/>
  <c r="B24" i="12"/>
  <c r="K24" i="12" s="1"/>
  <c r="B11" i="12"/>
  <c r="K11" i="12" s="1"/>
  <c r="B13" i="12"/>
  <c r="K13" i="12" s="1"/>
  <c r="B14" i="12"/>
  <c r="K14" i="12" s="1"/>
  <c r="B18" i="12"/>
  <c r="K18" i="12" s="1"/>
  <c r="B19" i="12"/>
  <c r="K19" i="12" s="1"/>
  <c r="B21" i="12"/>
  <c r="K21" i="12" s="1"/>
  <c r="B28" i="15"/>
  <c r="K28" i="15" s="1"/>
  <c r="B30" i="15"/>
  <c r="B18" i="15"/>
  <c r="B43" i="15"/>
  <c r="B42" i="15"/>
  <c r="F53" i="15"/>
  <c r="K52" i="15" s="1"/>
  <c r="B29" i="15"/>
  <c r="K29" i="15" s="1"/>
  <c r="B39" i="15"/>
  <c r="K39" i="15" s="1"/>
  <c r="B25" i="15"/>
  <c r="B37" i="15"/>
  <c r="B16" i="15"/>
  <c r="B33" i="15"/>
  <c r="B45" i="15"/>
  <c r="K45" i="15" s="1"/>
  <c r="B24" i="15"/>
  <c r="B11" i="15"/>
  <c r="K11" i="15" s="1"/>
  <c r="B12" i="15"/>
  <c r="K12" i="15" s="1"/>
  <c r="B14" i="15"/>
  <c r="B32" i="15"/>
  <c r="B19" i="15"/>
  <c r="G6" i="14"/>
  <c r="J6" i="14" s="1"/>
  <c r="K6" i="14"/>
  <c r="G22" i="14"/>
  <c r="J22" i="14" s="1"/>
  <c r="K22" i="14"/>
  <c r="G38" i="14"/>
  <c r="J38" i="14" s="1"/>
  <c r="K38" i="14"/>
  <c r="G9" i="14"/>
  <c r="J9" i="14" s="1"/>
  <c r="K9" i="14"/>
  <c r="G4" i="14"/>
  <c r="J4" i="14" s="1"/>
  <c r="K4" i="14"/>
  <c r="G7" i="14"/>
  <c r="J7" i="14" s="1"/>
  <c r="K7" i="14"/>
  <c r="G24" i="14"/>
  <c r="J24" i="14" s="1"/>
  <c r="K24" i="14"/>
  <c r="G17" i="14"/>
  <c r="J17" i="14" s="1"/>
  <c r="K17" i="14"/>
  <c r="G12" i="14"/>
  <c r="J12" i="14" s="1"/>
  <c r="K12" i="14"/>
  <c r="G40" i="14"/>
  <c r="J40" i="14" s="1"/>
  <c r="K40" i="14"/>
  <c r="G14" i="14"/>
  <c r="J14" i="14" s="1"/>
  <c r="K14" i="14"/>
  <c r="G8" i="14"/>
  <c r="J8" i="14" s="1"/>
  <c r="K8" i="14"/>
  <c r="G3" i="14"/>
  <c r="J3" i="14" s="1"/>
  <c r="K3" i="14"/>
  <c r="G11" i="14"/>
  <c r="J11" i="14" s="1"/>
  <c r="K11" i="14"/>
  <c r="G15" i="14"/>
  <c r="J15" i="14" s="1"/>
  <c r="K15" i="14"/>
  <c r="G28" i="14"/>
  <c r="J28" i="14" s="1"/>
  <c r="K28" i="14"/>
  <c r="G23" i="14"/>
  <c r="J23" i="14" s="1"/>
  <c r="K23" i="14"/>
  <c r="G5" i="14"/>
  <c r="J5" i="14" s="1"/>
  <c r="K5" i="14"/>
  <c r="G39" i="14"/>
  <c r="J39" i="14" s="1"/>
  <c r="K39" i="14"/>
  <c r="G10" i="14"/>
  <c r="J10" i="14" s="1"/>
  <c r="K10" i="14"/>
  <c r="G13" i="14"/>
  <c r="J13" i="14" s="1"/>
  <c r="K13" i="14"/>
  <c r="G35" i="14"/>
  <c r="J35" i="14" s="1"/>
  <c r="K35" i="14"/>
  <c r="K20" i="13"/>
  <c r="K12" i="13"/>
  <c r="K16" i="13"/>
  <c r="K5" i="13"/>
  <c r="K17" i="13"/>
  <c r="K9" i="13"/>
  <c r="K13" i="13"/>
  <c r="K18" i="13"/>
  <c r="K11" i="13"/>
  <c r="K10" i="13"/>
  <c r="K7" i="13"/>
  <c r="K6" i="13"/>
  <c r="K19" i="13"/>
  <c r="K3" i="13"/>
  <c r="K4" i="13"/>
  <c r="G4" i="12"/>
  <c r="J4" i="12" s="1"/>
  <c r="G3" i="12"/>
  <c r="J3" i="12" s="1"/>
  <c r="B47" i="15"/>
  <c r="B50" i="15"/>
  <c r="B51" i="15"/>
  <c r="B4" i="15"/>
  <c r="B36" i="15"/>
  <c r="K36" i="15" s="1"/>
  <c r="B21" i="15"/>
  <c r="B6" i="15"/>
  <c r="K6" i="15" s="1"/>
  <c r="B38" i="15"/>
  <c r="K38" i="15" s="1"/>
  <c r="B23" i="15"/>
  <c r="B8" i="15"/>
  <c r="B40" i="15"/>
  <c r="B26" i="15"/>
  <c r="B9" i="15"/>
  <c r="K9" i="15" s="1"/>
  <c r="B41" i="15"/>
  <c r="B27" i="15"/>
  <c r="K27" i="15" s="1"/>
  <c r="B44" i="15"/>
  <c r="K44" i="15" s="1"/>
  <c r="B46" i="15"/>
  <c r="B31" i="15"/>
  <c r="B48" i="15"/>
  <c r="B34" i="15"/>
  <c r="B49" i="15"/>
  <c r="K49" i="15" s="1"/>
  <c r="B35" i="15"/>
  <c r="G33" i="14"/>
  <c r="J33" i="14" s="1"/>
  <c r="G31" i="14"/>
  <c r="J31" i="14" s="1"/>
  <c r="G16" i="14"/>
  <c r="J16" i="14" s="1"/>
  <c r="G18" i="14"/>
  <c r="J18" i="14" s="1"/>
  <c r="G41" i="14"/>
  <c r="J41" i="14" s="1"/>
  <c r="G36" i="14"/>
  <c r="J36" i="14" s="1"/>
  <c r="G34" i="14"/>
  <c r="J34" i="14" s="1"/>
  <c r="G19" i="14"/>
  <c r="J19" i="14" s="1"/>
  <c r="G21" i="14"/>
  <c r="J21" i="14" s="1"/>
  <c r="G26" i="14"/>
  <c r="J26" i="14" s="1"/>
  <c r="G32" i="14"/>
  <c r="J32" i="14" s="1"/>
  <c r="G37" i="14"/>
  <c r="J37" i="14" s="1"/>
  <c r="G25" i="14"/>
  <c r="J25" i="14" s="1"/>
  <c r="G30" i="14"/>
  <c r="J30" i="14" s="1"/>
  <c r="G27" i="14"/>
  <c r="J27" i="14" s="1"/>
  <c r="G29" i="14"/>
  <c r="J29" i="14" s="1"/>
  <c r="G20" i="14"/>
  <c r="J20" i="14" s="1"/>
  <c r="Q6" i="13"/>
  <c r="C5" i="16" s="1"/>
  <c r="G27" i="12" l="1"/>
  <c r="J27" i="12" s="1"/>
  <c r="K35" i="15"/>
  <c r="K41" i="15"/>
  <c r="K21" i="15"/>
  <c r="K24" i="15"/>
  <c r="G10" i="15"/>
  <c r="J10" i="15" s="1"/>
  <c r="K13" i="15"/>
  <c r="K33" i="15"/>
  <c r="K42" i="15"/>
  <c r="K15" i="15"/>
  <c r="K34" i="15"/>
  <c r="K48" i="15"/>
  <c r="K40" i="15"/>
  <c r="K51" i="15"/>
  <c r="K19" i="15"/>
  <c r="K16" i="15"/>
  <c r="K43" i="15"/>
  <c r="K5" i="15"/>
  <c r="K4" i="15"/>
  <c r="K31" i="15"/>
  <c r="K50" i="15"/>
  <c r="K32" i="15"/>
  <c r="K37" i="15"/>
  <c r="K18" i="15"/>
  <c r="K20" i="15"/>
  <c r="K3" i="15"/>
  <c r="K10" i="15"/>
  <c r="K26" i="15"/>
  <c r="K8" i="15"/>
  <c r="K46" i="15"/>
  <c r="K23" i="15"/>
  <c r="K47" i="15"/>
  <c r="K14" i="15"/>
  <c r="K25" i="15"/>
  <c r="K30" i="15"/>
  <c r="K7" i="15"/>
  <c r="K17" i="15"/>
  <c r="G23" i="12"/>
  <c r="J23" i="12" s="1"/>
  <c r="G6" i="12"/>
  <c r="J6" i="12" s="1"/>
  <c r="G17" i="12"/>
  <c r="J17" i="12" s="1"/>
  <c r="G25" i="12"/>
  <c r="J25" i="12" s="1"/>
  <c r="G26" i="12"/>
  <c r="J26" i="12" s="1"/>
  <c r="G35" i="13"/>
  <c r="J35" i="13" s="1"/>
  <c r="G4" i="13"/>
  <c r="J4" i="13" s="1"/>
  <c r="G25" i="13"/>
  <c r="J25" i="13" s="1"/>
  <c r="G31" i="13"/>
  <c r="J31" i="13" s="1"/>
  <c r="G21" i="13"/>
  <c r="J21" i="13" s="1"/>
  <c r="G3" i="13"/>
  <c r="J3" i="13" s="1"/>
  <c r="G19" i="13"/>
  <c r="J19" i="13" s="1"/>
  <c r="G23" i="13"/>
  <c r="J23" i="13" s="1"/>
  <c r="G11" i="13"/>
  <c r="J11" i="13" s="1"/>
  <c r="G17" i="13"/>
  <c r="J17" i="13" s="1"/>
  <c r="G32" i="13"/>
  <c r="J32" i="13" s="1"/>
  <c r="G14" i="13"/>
  <c r="J14" i="13" s="1"/>
  <c r="G28" i="13"/>
  <c r="J28" i="13" s="1"/>
  <c r="G26" i="13"/>
  <c r="J26" i="13" s="1"/>
  <c r="G12" i="13"/>
  <c r="J12" i="13" s="1"/>
  <c r="G30" i="13"/>
  <c r="J30" i="13" s="1"/>
  <c r="G6" i="13"/>
  <c r="J6" i="13" s="1"/>
  <c r="G13" i="13"/>
  <c r="J13" i="13" s="1"/>
  <c r="G7" i="13"/>
  <c r="J7" i="13" s="1"/>
  <c r="G9" i="13"/>
  <c r="J9" i="13" s="1"/>
  <c r="G20" i="13"/>
  <c r="J20" i="13" s="1"/>
  <c r="G33" i="13"/>
  <c r="J33" i="13" s="1"/>
  <c r="G22" i="13"/>
  <c r="J22" i="13" s="1"/>
  <c r="G16" i="13"/>
  <c r="J16" i="13" s="1"/>
  <c r="G27" i="13"/>
  <c r="J27" i="13" s="1"/>
  <c r="G34" i="13"/>
  <c r="J34" i="13" s="1"/>
  <c r="G8" i="13"/>
  <c r="J8" i="13" s="1"/>
  <c r="G18" i="13"/>
  <c r="J18" i="13" s="1"/>
  <c r="G29" i="13"/>
  <c r="J29" i="13" s="1"/>
  <c r="G15" i="13"/>
  <c r="J15" i="13" s="1"/>
  <c r="G10" i="13"/>
  <c r="J10" i="13" s="1"/>
  <c r="G24" i="13"/>
  <c r="J24" i="13" s="1"/>
  <c r="G5" i="13"/>
  <c r="J5" i="13" s="1"/>
  <c r="G8" i="12"/>
  <c r="J8" i="12" s="1"/>
  <c r="G12" i="12"/>
  <c r="J12" i="12" s="1"/>
  <c r="G11" i="12"/>
  <c r="J11" i="12" s="1"/>
  <c r="G9" i="12"/>
  <c r="J9" i="12" s="1"/>
  <c r="G20" i="12"/>
  <c r="J20" i="12" s="1"/>
  <c r="G5" i="12"/>
  <c r="J5" i="12" s="1"/>
  <c r="G15" i="12"/>
  <c r="J15" i="12" s="1"/>
  <c r="G14" i="12"/>
  <c r="J14" i="12" s="1"/>
  <c r="G13" i="12"/>
  <c r="J13" i="12" s="1"/>
  <c r="G24" i="12"/>
  <c r="J24" i="12" s="1"/>
  <c r="G22" i="12"/>
  <c r="J22" i="12" s="1"/>
  <c r="G28" i="12"/>
  <c r="J28" i="12" s="1"/>
  <c r="G21" i="12"/>
  <c r="J21" i="12" s="1"/>
  <c r="G16" i="12"/>
  <c r="J16" i="12" s="1"/>
  <c r="G10" i="12"/>
  <c r="J10" i="12" s="1"/>
  <c r="G19" i="12"/>
  <c r="J19" i="12" s="1"/>
  <c r="G29" i="12"/>
  <c r="J29" i="12" s="1"/>
  <c r="G18" i="12"/>
  <c r="J18" i="12" s="1"/>
  <c r="G7" i="12"/>
  <c r="J7" i="12" s="1"/>
  <c r="G30" i="12"/>
  <c r="J30" i="12" s="1"/>
  <c r="G40" i="15"/>
  <c r="J40" i="15" s="1"/>
  <c r="G29" i="15"/>
  <c r="J29" i="15" s="1"/>
  <c r="G5" i="15"/>
  <c r="J5" i="15" s="1"/>
  <c r="G31" i="15"/>
  <c r="J31" i="15" s="1"/>
  <c r="G8" i="15"/>
  <c r="J8" i="15" s="1"/>
  <c r="G50" i="15"/>
  <c r="J50" i="15" s="1"/>
  <c r="G17" i="15"/>
  <c r="J17" i="15" s="1"/>
  <c r="G15" i="15"/>
  <c r="J15" i="15" s="1"/>
  <c r="G43" i="15"/>
  <c r="J43" i="15" s="1"/>
  <c r="G48" i="15"/>
  <c r="J48" i="15" s="1"/>
  <c r="G51" i="15"/>
  <c r="J51" i="15" s="1"/>
  <c r="G45" i="15"/>
  <c r="J45" i="15" s="1"/>
  <c r="G46" i="15"/>
  <c r="J46" i="15" s="1"/>
  <c r="G23" i="15"/>
  <c r="J23" i="15" s="1"/>
  <c r="G47" i="15"/>
  <c r="J47" i="15" s="1"/>
  <c r="G19" i="15"/>
  <c r="J19" i="15" s="1"/>
  <c r="G33" i="15"/>
  <c r="J33" i="15" s="1"/>
  <c r="G52" i="15"/>
  <c r="J52" i="15" s="1"/>
  <c r="G44" i="15"/>
  <c r="J44" i="15" s="1"/>
  <c r="G16" i="15"/>
  <c r="J16" i="15" s="1"/>
  <c r="G27" i="15"/>
  <c r="J27" i="15" s="1"/>
  <c r="G6" i="15"/>
  <c r="J6" i="15" s="1"/>
  <c r="G14" i="15"/>
  <c r="J14" i="15" s="1"/>
  <c r="G37" i="15"/>
  <c r="J37" i="15" s="1"/>
  <c r="G18" i="15"/>
  <c r="J18" i="15" s="1"/>
  <c r="G3" i="15"/>
  <c r="J3" i="15" s="1"/>
  <c r="G35" i="15"/>
  <c r="J35" i="15" s="1"/>
  <c r="G21" i="15"/>
  <c r="J21" i="15" s="1"/>
  <c r="G12" i="15"/>
  <c r="J12" i="15" s="1"/>
  <c r="G13" i="15"/>
  <c r="J13" i="15" s="1"/>
  <c r="G30" i="15"/>
  <c r="J30" i="15" s="1"/>
  <c r="G38" i="15"/>
  <c r="J38" i="15" s="1"/>
  <c r="G20" i="15"/>
  <c r="J20" i="15" s="1"/>
  <c r="G41" i="15"/>
  <c r="J41" i="15" s="1"/>
  <c r="G49" i="15"/>
  <c r="J49" i="15" s="1"/>
  <c r="G9" i="15"/>
  <c r="J9" i="15" s="1"/>
  <c r="G36" i="15"/>
  <c r="J36" i="15" s="1"/>
  <c r="G11" i="15"/>
  <c r="J11" i="15" s="1"/>
  <c r="G25" i="15"/>
  <c r="J25" i="15" s="1"/>
  <c r="G42" i="15"/>
  <c r="J42" i="15" s="1"/>
  <c r="G28" i="15"/>
  <c r="J28" i="15" s="1"/>
  <c r="G32" i="15"/>
  <c r="J32" i="15" s="1"/>
  <c r="G34" i="15"/>
  <c r="J34" i="15" s="1"/>
  <c r="G26" i="15"/>
  <c r="J26" i="15" s="1"/>
  <c r="G4" i="15"/>
  <c r="J4" i="15" s="1"/>
  <c r="G24" i="15"/>
  <c r="J24" i="15" s="1"/>
  <c r="G39" i="15"/>
  <c r="J39" i="15" s="1"/>
  <c r="G7" i="15"/>
  <c r="J7" i="15" s="1"/>
  <c r="G22" i="15"/>
  <c r="J22" i="15" s="1"/>
  <c r="K43" i="14"/>
  <c r="N8" i="14" s="1"/>
  <c r="D6" i="16" s="1"/>
  <c r="K36" i="13"/>
  <c r="N8" i="13" s="1"/>
  <c r="D5" i="16" s="1"/>
  <c r="K31" i="12"/>
  <c r="N8" i="12" s="1"/>
  <c r="D4" i="16" s="1"/>
  <c r="J43" i="14"/>
  <c r="G43" i="14"/>
  <c r="H3" i="14" s="1"/>
  <c r="I3" i="14" s="1"/>
  <c r="K53" i="15" l="1"/>
  <c r="N8" i="15" s="1"/>
  <c r="G36" i="13"/>
  <c r="H21" i="13" s="1"/>
  <c r="I21" i="13" s="1"/>
  <c r="J31" i="12"/>
  <c r="G31" i="12"/>
  <c r="H7" i="12" s="1"/>
  <c r="I7" i="12" s="1"/>
  <c r="J53" i="15"/>
  <c r="J36" i="13"/>
  <c r="N7" i="13" s="1"/>
  <c r="G5" i="16" s="1"/>
  <c r="H27" i="14"/>
  <c r="I27" i="14" s="1"/>
  <c r="H35" i="14"/>
  <c r="I35" i="14" s="1"/>
  <c r="H33" i="14"/>
  <c r="I33" i="14" s="1"/>
  <c r="H29" i="14"/>
  <c r="I29" i="14" s="1"/>
  <c r="H15" i="14"/>
  <c r="I15" i="14" s="1"/>
  <c r="H21" i="14"/>
  <c r="I21" i="14" s="1"/>
  <c r="H36" i="14"/>
  <c r="I36" i="14" s="1"/>
  <c r="H20" i="14"/>
  <c r="I20" i="14" s="1"/>
  <c r="H5" i="14"/>
  <c r="I5" i="14" s="1"/>
  <c r="H30" i="14"/>
  <c r="I30" i="14" s="1"/>
  <c r="H9" i="14"/>
  <c r="I9" i="14" s="1"/>
  <c r="H37" i="14"/>
  <c r="I37" i="14" s="1"/>
  <c r="H38" i="14"/>
  <c r="I38" i="14" s="1"/>
  <c r="H4" i="14"/>
  <c r="I4" i="14" s="1"/>
  <c r="H40" i="14"/>
  <c r="I40" i="14" s="1"/>
  <c r="H16" i="14"/>
  <c r="I16" i="14" s="1"/>
  <c r="H22" i="14"/>
  <c r="I22" i="14" s="1"/>
  <c r="H23" i="14"/>
  <c r="I23" i="14" s="1"/>
  <c r="H24" i="14"/>
  <c r="I24" i="14" s="1"/>
  <c r="H32" i="14"/>
  <c r="I32" i="14" s="1"/>
  <c r="H19" i="14"/>
  <c r="I19" i="14" s="1"/>
  <c r="H31" i="14"/>
  <c r="I31" i="14" s="1"/>
  <c r="H34" i="14"/>
  <c r="I34" i="14" s="1"/>
  <c r="H8" i="14"/>
  <c r="I8" i="14" s="1"/>
  <c r="H39" i="14"/>
  <c r="I39" i="14" s="1"/>
  <c r="H25" i="14"/>
  <c r="I25" i="14" s="1"/>
  <c r="H10" i="14"/>
  <c r="I10" i="14" s="1"/>
  <c r="H14" i="14"/>
  <c r="I14" i="14" s="1"/>
  <c r="H42" i="14"/>
  <c r="I42" i="14" s="1"/>
  <c r="H6" i="14"/>
  <c r="I6" i="14" s="1"/>
  <c r="H17" i="14"/>
  <c r="I17" i="14" s="1"/>
  <c r="H41" i="14"/>
  <c r="I41" i="14" s="1"/>
  <c r="H18" i="14"/>
  <c r="I18" i="14" s="1"/>
  <c r="H12" i="14"/>
  <c r="I12" i="14" s="1"/>
  <c r="H7" i="14"/>
  <c r="I7" i="14" s="1"/>
  <c r="H28" i="14"/>
  <c r="I28" i="14" s="1"/>
  <c r="H11" i="14"/>
  <c r="I11" i="14" s="1"/>
  <c r="H13" i="14"/>
  <c r="I13" i="14" s="1"/>
  <c r="H26" i="14"/>
  <c r="I26" i="14" s="1"/>
  <c r="H9" i="13" l="1"/>
  <c r="I9" i="13" s="1"/>
  <c r="H23" i="13"/>
  <c r="I23" i="13" s="1"/>
  <c r="H14" i="13"/>
  <c r="I14" i="13" s="1"/>
  <c r="H13" i="13"/>
  <c r="I13" i="13" s="1"/>
  <c r="H3" i="13"/>
  <c r="I3" i="13" s="1"/>
  <c r="D7" i="16"/>
  <c r="H12" i="13"/>
  <c r="I12" i="13" s="1"/>
  <c r="H29" i="12"/>
  <c r="I29" i="12" s="1"/>
  <c r="H13" i="12"/>
  <c r="I13" i="12" s="1"/>
  <c r="H19" i="12"/>
  <c r="I19" i="12" s="1"/>
  <c r="H10" i="12"/>
  <c r="I10" i="12" s="1"/>
  <c r="H3" i="12"/>
  <c r="I3" i="12" s="1"/>
  <c r="H33" i="13"/>
  <c r="I33" i="13" s="1"/>
  <c r="H17" i="13"/>
  <c r="I17" i="13" s="1"/>
  <c r="H27" i="13"/>
  <c r="I27" i="13" s="1"/>
  <c r="H11" i="13"/>
  <c r="I11" i="13" s="1"/>
  <c r="H30" i="13"/>
  <c r="I30" i="13" s="1"/>
  <c r="H6" i="13"/>
  <c r="I6" i="13" s="1"/>
  <c r="H24" i="13"/>
  <c r="I24" i="13" s="1"/>
  <c r="H34" i="13"/>
  <c r="I34" i="13" s="1"/>
  <c r="H35" i="13"/>
  <c r="I35" i="13" s="1"/>
  <c r="H16" i="13"/>
  <c r="I16" i="13" s="1"/>
  <c r="H28" i="13"/>
  <c r="I28" i="13" s="1"/>
  <c r="H8" i="13"/>
  <c r="I8" i="13" s="1"/>
  <c r="H25" i="13"/>
  <c r="I25" i="13" s="1"/>
  <c r="H5" i="13"/>
  <c r="I5" i="13" s="1"/>
  <c r="H19" i="13"/>
  <c r="I19" i="13" s="1"/>
  <c r="H26" i="13"/>
  <c r="I26" i="13" s="1"/>
  <c r="H32" i="13"/>
  <c r="I32" i="13" s="1"/>
  <c r="H21" i="12"/>
  <c r="I21" i="12" s="1"/>
  <c r="H28" i="12"/>
  <c r="I28" i="12" s="1"/>
  <c r="H11" i="12"/>
  <c r="I11" i="12" s="1"/>
  <c r="H25" i="12"/>
  <c r="I25" i="12" s="1"/>
  <c r="H6" i="12"/>
  <c r="I6" i="12" s="1"/>
  <c r="H12" i="12"/>
  <c r="I12" i="12" s="1"/>
  <c r="H15" i="12"/>
  <c r="I15" i="12" s="1"/>
  <c r="H18" i="12"/>
  <c r="I18" i="12" s="1"/>
  <c r="H18" i="13"/>
  <c r="I18" i="13" s="1"/>
  <c r="H31" i="13"/>
  <c r="I31" i="13" s="1"/>
  <c r="H29" i="13"/>
  <c r="I29" i="13" s="1"/>
  <c r="H7" i="13"/>
  <c r="I7" i="13" s="1"/>
  <c r="H10" i="13"/>
  <c r="I10" i="13" s="1"/>
  <c r="H26" i="12"/>
  <c r="I26" i="12" s="1"/>
  <c r="H17" i="12"/>
  <c r="I17" i="12" s="1"/>
  <c r="H9" i="12"/>
  <c r="I9" i="12" s="1"/>
  <c r="H4" i="13"/>
  <c r="I4" i="13" s="1"/>
  <c r="H15" i="13"/>
  <c r="I15" i="13" s="1"/>
  <c r="H22" i="13"/>
  <c r="I22" i="13" s="1"/>
  <c r="H20" i="13"/>
  <c r="I20" i="13" s="1"/>
  <c r="H14" i="12"/>
  <c r="I14" i="12" s="1"/>
  <c r="H24" i="12"/>
  <c r="I24" i="12" s="1"/>
  <c r="H23" i="12"/>
  <c r="I23" i="12" s="1"/>
  <c r="H22" i="12"/>
  <c r="I22" i="12" s="1"/>
  <c r="H20" i="12"/>
  <c r="I20" i="12" s="1"/>
  <c r="H5" i="12"/>
  <c r="I5" i="12" s="1"/>
  <c r="H8" i="12"/>
  <c r="I8" i="12" s="1"/>
  <c r="H27" i="12"/>
  <c r="I27" i="12" s="1"/>
  <c r="H16" i="12"/>
  <c r="I16" i="12" s="1"/>
  <c r="H4" i="12"/>
  <c r="I4" i="12" s="1"/>
  <c r="H30" i="12"/>
  <c r="I30" i="12" s="1"/>
  <c r="H43" i="14"/>
  <c r="I43" i="14"/>
  <c r="N5" i="14" s="1"/>
  <c r="I36" i="13" l="1"/>
  <c r="N5" i="13" s="1"/>
  <c r="N6" i="13" s="1"/>
  <c r="H36" i="13"/>
  <c r="I31" i="12"/>
  <c r="N5" i="12" s="1"/>
  <c r="F4" i="16" s="1"/>
  <c r="H31" i="12"/>
  <c r="N6" i="14"/>
  <c r="E6" i="16" s="1"/>
  <c r="F6" i="16"/>
  <c r="F5" i="16" l="1"/>
  <c r="E5" i="16"/>
  <c r="D20" i="9"/>
  <c r="F20" i="9" s="1"/>
  <c r="D19" i="9"/>
  <c r="F19" i="9" s="1"/>
  <c r="D18" i="9"/>
  <c r="F18" i="9" s="1"/>
  <c r="D17" i="9"/>
  <c r="F17" i="9" s="1"/>
  <c r="D16" i="9"/>
  <c r="F16" i="9" s="1"/>
  <c r="D15" i="9"/>
  <c r="F15" i="9" s="1"/>
  <c r="D14" i="9"/>
  <c r="F14" i="9" s="1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D7" i="9"/>
  <c r="F7" i="9" s="1"/>
  <c r="D6" i="9"/>
  <c r="F6" i="9" s="1"/>
  <c r="D5" i="9"/>
  <c r="F5" i="9" s="1"/>
  <c r="D4" i="9"/>
  <c r="F4" i="9" s="1"/>
  <c r="F3" i="9"/>
  <c r="F21" i="9" l="1"/>
  <c r="Q5" i="9"/>
  <c r="C4" i="9"/>
  <c r="B3" i="9"/>
  <c r="K3" i="9" s="1"/>
  <c r="E18" i="5"/>
  <c r="E17" i="5"/>
  <c r="E16" i="5"/>
  <c r="E15" i="5"/>
  <c r="E14" i="5"/>
  <c r="E13" i="5"/>
  <c r="E12" i="5"/>
  <c r="E11" i="5"/>
  <c r="E10" i="5"/>
  <c r="E9" i="5"/>
  <c r="C4" i="5" l="1"/>
  <c r="B4" i="5" s="1"/>
  <c r="B3" i="5"/>
  <c r="C5" i="9"/>
  <c r="B4" i="9"/>
  <c r="K4" i="9" s="1"/>
  <c r="F3" i="5"/>
  <c r="C5" i="5" l="1"/>
  <c r="B5" i="5" s="1"/>
  <c r="D4" i="5"/>
  <c r="F4" i="5" s="1"/>
  <c r="C6" i="9"/>
  <c r="B5" i="9"/>
  <c r="K5" i="9" s="1"/>
  <c r="C6" i="5" l="1"/>
  <c r="B6" i="5" s="1"/>
  <c r="D5" i="5"/>
  <c r="F5" i="5" s="1"/>
  <c r="C7" i="9"/>
  <c r="B6" i="9"/>
  <c r="K6" i="9" s="1"/>
  <c r="D6" i="5" l="1"/>
  <c r="F6" i="5" s="1"/>
  <c r="C7" i="5"/>
  <c r="D7" i="5" s="1"/>
  <c r="F7" i="5" s="1"/>
  <c r="C8" i="9"/>
  <c r="B7" i="9"/>
  <c r="K7" i="9" s="1"/>
  <c r="C8" i="5" l="1"/>
  <c r="D8" i="5" s="1"/>
  <c r="F8" i="5" s="1"/>
  <c r="B7" i="5"/>
  <c r="C9" i="9"/>
  <c r="B8" i="9"/>
  <c r="K8" i="9" s="1"/>
  <c r="C9" i="5" l="1"/>
  <c r="B9" i="5" s="1"/>
  <c r="B8" i="5"/>
  <c r="C10" i="9"/>
  <c r="B9" i="9"/>
  <c r="K9" i="9" s="1"/>
  <c r="C10" i="5" l="1"/>
  <c r="D10" i="5" s="1"/>
  <c r="F10" i="5" s="1"/>
  <c r="D9" i="5"/>
  <c r="F9" i="5" s="1"/>
  <c r="C11" i="9"/>
  <c r="B10" i="9"/>
  <c r="K10" i="9" s="1"/>
  <c r="C11" i="5" l="1"/>
  <c r="D11" i="5" s="1"/>
  <c r="F11" i="5" s="1"/>
  <c r="B10" i="5"/>
  <c r="C12" i="9"/>
  <c r="B11" i="9"/>
  <c r="K11" i="9" s="1"/>
  <c r="C12" i="5" l="1"/>
  <c r="B12" i="5" s="1"/>
  <c r="B11" i="5"/>
  <c r="C13" i="9"/>
  <c r="B12" i="9"/>
  <c r="K12" i="9" s="1"/>
  <c r="C13" i="5" l="1"/>
  <c r="B13" i="5" s="1"/>
  <c r="D12" i="5"/>
  <c r="F12" i="5" s="1"/>
  <c r="C14" i="9"/>
  <c r="B13" i="9"/>
  <c r="K13" i="9" s="1"/>
  <c r="C14" i="5" l="1"/>
  <c r="D14" i="5" s="1"/>
  <c r="F14" i="5" s="1"/>
  <c r="D13" i="5"/>
  <c r="F13" i="5" s="1"/>
  <c r="C15" i="9"/>
  <c r="B14" i="9"/>
  <c r="K14" i="9" s="1"/>
  <c r="C15" i="5"/>
  <c r="B15" i="5" s="1"/>
  <c r="B14" i="5" l="1"/>
  <c r="C16" i="9"/>
  <c r="B15" i="9"/>
  <c r="K15" i="9" s="1"/>
  <c r="C16" i="5"/>
  <c r="D15" i="5"/>
  <c r="F15" i="5" s="1"/>
  <c r="D16" i="5" l="1"/>
  <c r="F16" i="5" s="1"/>
  <c r="B16" i="5"/>
  <c r="C17" i="9"/>
  <c r="B16" i="9"/>
  <c r="K16" i="9" s="1"/>
  <c r="C17" i="5"/>
  <c r="D17" i="5" l="1"/>
  <c r="F17" i="5" s="1"/>
  <c r="B17" i="5"/>
  <c r="C18" i="9"/>
  <c r="B17" i="9"/>
  <c r="K17" i="9" s="1"/>
  <c r="C18" i="5"/>
  <c r="D18" i="5" l="1"/>
  <c r="F18" i="5" s="1"/>
  <c r="B18" i="5"/>
  <c r="C19" i="9"/>
  <c r="B18" i="9"/>
  <c r="K18" i="9" s="1"/>
  <c r="F19" i="5" l="1"/>
  <c r="F22" i="5"/>
  <c r="B2" i="16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C20" i="9"/>
  <c r="B19" i="9"/>
  <c r="K19" i="9" s="1"/>
  <c r="K19" i="5" l="1"/>
  <c r="N8" i="5" s="1"/>
  <c r="D2" i="16" s="1"/>
  <c r="B20" i="9"/>
  <c r="K20" i="9" s="1"/>
  <c r="K21" i="9" s="1"/>
  <c r="N8" i="9" l="1"/>
  <c r="D3" i="16" s="1"/>
  <c r="N6" i="12"/>
  <c r="E4" i="16" s="1"/>
  <c r="N7" i="14"/>
  <c r="G6" i="16" s="1"/>
  <c r="Q6" i="14" l="1"/>
  <c r="C6" i="16" s="1"/>
  <c r="N7" i="15"/>
  <c r="G7" i="16" s="1"/>
  <c r="Q6" i="15" l="1"/>
  <c r="C7" i="16" s="1"/>
  <c r="G53" i="15" l="1"/>
  <c r="H9" i="15" s="1"/>
  <c r="I9" i="15" s="1"/>
  <c r="H11" i="15" l="1"/>
  <c r="I11" i="15" s="1"/>
  <c r="H48" i="15"/>
  <c r="I48" i="15" s="1"/>
  <c r="H31" i="15"/>
  <c r="I31" i="15" s="1"/>
  <c r="H17" i="15"/>
  <c r="I17" i="15" s="1"/>
  <c r="H22" i="15"/>
  <c r="I22" i="15" s="1"/>
  <c r="H38" i="15"/>
  <c r="I38" i="15" s="1"/>
  <c r="H46" i="15"/>
  <c r="I46" i="15" s="1"/>
  <c r="H49" i="15"/>
  <c r="I49" i="15" s="1"/>
  <c r="H52" i="15"/>
  <c r="I52" i="15" s="1"/>
  <c r="H28" i="15"/>
  <c r="I28" i="15" s="1"/>
  <c r="H25" i="15"/>
  <c r="I25" i="15" s="1"/>
  <c r="H15" i="15"/>
  <c r="I15" i="15" s="1"/>
  <c r="H18" i="15"/>
  <c r="I18" i="15" s="1"/>
  <c r="H33" i="15"/>
  <c r="I33" i="15" s="1"/>
  <c r="H10" i="15"/>
  <c r="I10" i="15" s="1"/>
  <c r="H44" i="15"/>
  <c r="I44" i="15" s="1"/>
  <c r="H47" i="15"/>
  <c r="I47" i="15" s="1"/>
  <c r="H34" i="15"/>
  <c r="I34" i="15" s="1"/>
  <c r="H4" i="15"/>
  <c r="I4" i="15" s="1"/>
  <c r="H42" i="15"/>
  <c r="I42" i="15" s="1"/>
  <c r="H14" i="15"/>
  <c r="I14" i="15" s="1"/>
  <c r="H24" i="15"/>
  <c r="I24" i="15" s="1"/>
  <c r="H50" i="15"/>
  <c r="I50" i="15" s="1"/>
  <c r="H13" i="15"/>
  <c r="I13" i="15" s="1"/>
  <c r="H41" i="15"/>
  <c r="I41" i="15" s="1"/>
  <c r="H21" i="15"/>
  <c r="I21" i="15" s="1"/>
  <c r="H51" i="15"/>
  <c r="I51" i="15" s="1"/>
  <c r="H23" i="15"/>
  <c r="I23" i="15" s="1"/>
  <c r="H20" i="15"/>
  <c r="I20" i="15" s="1"/>
  <c r="H3" i="15"/>
  <c r="I3" i="15" s="1"/>
  <c r="H36" i="15"/>
  <c r="I36" i="15" s="1"/>
  <c r="H29" i="15"/>
  <c r="I29" i="15" s="1"/>
  <c r="H7" i="15"/>
  <c r="I7" i="15" s="1"/>
  <c r="H35" i="15"/>
  <c r="I35" i="15" s="1"/>
  <c r="H37" i="15"/>
  <c r="I37" i="15" s="1"/>
  <c r="H32" i="15"/>
  <c r="I32" i="15" s="1"/>
  <c r="H5" i="15"/>
  <c r="I5" i="15" s="1"/>
  <c r="H8" i="15"/>
  <c r="I8" i="15" s="1"/>
  <c r="H12" i="15"/>
  <c r="I12" i="15" s="1"/>
  <c r="H19" i="15"/>
  <c r="I19" i="15" s="1"/>
  <c r="H16" i="15"/>
  <c r="I16" i="15" s="1"/>
  <c r="H40" i="15"/>
  <c r="I40" i="15" s="1"/>
  <c r="H6" i="15"/>
  <c r="I6" i="15" s="1"/>
  <c r="H27" i="15"/>
  <c r="I27" i="15" s="1"/>
  <c r="H26" i="15"/>
  <c r="I26" i="15" s="1"/>
  <c r="H39" i="15"/>
  <c r="I39" i="15" s="1"/>
  <c r="H30" i="15"/>
  <c r="I30" i="15" s="1"/>
  <c r="H45" i="15"/>
  <c r="I45" i="15" s="1"/>
  <c r="H43" i="15"/>
  <c r="I43" i="15" s="1"/>
  <c r="H53" i="15" l="1"/>
  <c r="I53" i="15"/>
  <c r="N5" i="15" s="1"/>
  <c r="F7" i="16" s="1"/>
  <c r="N6" i="15" l="1"/>
  <c r="E7" i="16" s="1"/>
  <c r="G6" i="9" l="1"/>
  <c r="J6" i="9" s="1"/>
  <c r="G16" i="9"/>
  <c r="G19" i="9"/>
  <c r="G5" i="9"/>
  <c r="G8" i="9"/>
  <c r="G15" i="9"/>
  <c r="G10" i="9"/>
  <c r="G9" i="9"/>
  <c r="G14" i="9"/>
  <c r="G3" i="9"/>
  <c r="G11" i="9"/>
  <c r="G4" i="9"/>
  <c r="G17" i="9"/>
  <c r="G13" i="9"/>
  <c r="G7" i="9"/>
  <c r="G20" i="9"/>
  <c r="G12" i="9"/>
  <c r="G18" i="9"/>
  <c r="J4" i="9" l="1"/>
  <c r="J9" i="9"/>
  <c r="J5" i="9"/>
  <c r="J16" i="9"/>
  <c r="J7" i="9"/>
  <c r="J11" i="9"/>
  <c r="J10" i="9"/>
  <c r="G21" i="9"/>
  <c r="H6" i="9" s="1"/>
  <c r="I6" i="9" s="1"/>
  <c r="J3" i="9"/>
  <c r="J20" i="9"/>
  <c r="J18" i="9"/>
  <c r="J13" i="9"/>
  <c r="J15" i="9"/>
  <c r="J12" i="9"/>
  <c r="J17" i="9"/>
  <c r="J14" i="9"/>
  <c r="J8" i="9"/>
  <c r="J19" i="9"/>
  <c r="J21" i="9" l="1"/>
  <c r="H19" i="9"/>
  <c r="I19" i="9" s="1"/>
  <c r="H14" i="9"/>
  <c r="I14" i="9" s="1"/>
  <c r="H15" i="9"/>
  <c r="I15" i="9" s="1"/>
  <c r="H8" i="9"/>
  <c r="I8" i="9" s="1"/>
  <c r="H17" i="9"/>
  <c r="I17" i="9" s="1"/>
  <c r="H11" i="9"/>
  <c r="I11" i="9" s="1"/>
  <c r="H12" i="9"/>
  <c r="I12" i="9" s="1"/>
  <c r="H13" i="9"/>
  <c r="I13" i="9" s="1"/>
  <c r="H20" i="9"/>
  <c r="I20" i="9" s="1"/>
  <c r="H16" i="9"/>
  <c r="I16" i="9" s="1"/>
  <c r="H9" i="9"/>
  <c r="I9" i="9" s="1"/>
  <c r="H10" i="9"/>
  <c r="I10" i="9" s="1"/>
  <c r="H5" i="9"/>
  <c r="I5" i="9" s="1"/>
  <c r="H4" i="9"/>
  <c r="I4" i="9" s="1"/>
  <c r="H18" i="9"/>
  <c r="I18" i="9" s="1"/>
  <c r="H3" i="9"/>
  <c r="I3" i="9" s="1"/>
  <c r="H7" i="9"/>
  <c r="I7" i="9" s="1"/>
  <c r="I21" i="9" l="1"/>
  <c r="N5" i="9" s="1"/>
  <c r="H21" i="9"/>
  <c r="F3" i="16" l="1"/>
  <c r="Q6" i="12"/>
  <c r="C4" i="16" s="1"/>
  <c r="N7" i="12"/>
  <c r="G4" i="16" s="1"/>
  <c r="G17" i="5" l="1"/>
  <c r="G18" i="5" l="1"/>
  <c r="J18" i="5" s="1"/>
  <c r="G11" i="5"/>
  <c r="J11" i="5" s="1"/>
  <c r="G7" i="5"/>
  <c r="J7" i="5" s="1"/>
  <c r="G10" i="5"/>
  <c r="J10" i="5" s="1"/>
  <c r="J17" i="5"/>
  <c r="G12" i="5"/>
  <c r="G9" i="5"/>
  <c r="G3" i="5"/>
  <c r="G15" i="5"/>
  <c r="G8" i="5"/>
  <c r="G14" i="5"/>
  <c r="G13" i="5"/>
  <c r="G16" i="5"/>
  <c r="G4" i="5"/>
  <c r="G6" i="5"/>
  <c r="G5" i="5"/>
  <c r="N3" i="5" l="1"/>
  <c r="J16" i="5"/>
  <c r="J9" i="5"/>
  <c r="J12" i="5"/>
  <c r="J8" i="5"/>
  <c r="J13" i="5"/>
  <c r="J14" i="5"/>
  <c r="J5" i="5"/>
  <c r="G19" i="5"/>
  <c r="J6" i="5"/>
  <c r="J15" i="5"/>
  <c r="J4" i="5"/>
  <c r="J3" i="5"/>
  <c r="Q6" i="5" l="1"/>
  <c r="C2" i="16" s="1"/>
  <c r="H8" i="5"/>
  <c r="I8" i="5" s="1"/>
  <c r="J19" i="5"/>
  <c r="N7" i="5" s="1"/>
  <c r="G2" i="16" s="1"/>
  <c r="H3" i="5"/>
  <c r="I3" i="5" s="1"/>
  <c r="H17" i="5"/>
  <c r="I17" i="5" s="1"/>
  <c r="H7" i="5"/>
  <c r="I7" i="5" s="1"/>
  <c r="H18" i="5"/>
  <c r="I18" i="5" s="1"/>
  <c r="H11" i="5"/>
  <c r="I11" i="5" s="1"/>
  <c r="H10" i="5"/>
  <c r="I10" i="5" s="1"/>
  <c r="H5" i="5"/>
  <c r="I5" i="5" s="1"/>
  <c r="H12" i="5"/>
  <c r="I12" i="5" s="1"/>
  <c r="H16" i="5"/>
  <c r="I16" i="5" s="1"/>
  <c r="H4" i="5"/>
  <c r="I4" i="5" s="1"/>
  <c r="H15" i="5"/>
  <c r="I15" i="5" s="1"/>
  <c r="H9" i="5"/>
  <c r="I9" i="5" s="1"/>
  <c r="H14" i="5"/>
  <c r="I14" i="5" s="1"/>
  <c r="H6" i="5"/>
  <c r="I6" i="5" s="1"/>
  <c r="H13" i="5"/>
  <c r="I13" i="5" s="1"/>
  <c r="H19" i="5" l="1"/>
  <c r="I19" i="5"/>
  <c r="N5" i="5" s="1"/>
  <c r="N6" i="5" l="1"/>
  <c r="E2" i="16" s="1"/>
  <c r="F2" i="16"/>
  <c r="N6" i="9"/>
  <c r="E3" i="16" s="1"/>
  <c r="B3" i="16"/>
  <c r="N3" i="9" l="1"/>
  <c r="N7" i="9" s="1"/>
  <c r="G3" i="16" s="1"/>
  <c r="Q6" i="9" l="1"/>
  <c r="C3" i="16" s="1"/>
</calcChain>
</file>

<file path=xl/sharedStrings.xml><?xml version="1.0" encoding="utf-8"?>
<sst xmlns="http://schemas.openxmlformats.org/spreadsheetml/2006/main" count="146" uniqueCount="42">
  <si>
    <t>USD 2038</t>
  </si>
  <si>
    <t>Fecha</t>
  </si>
  <si>
    <t>Renta</t>
  </si>
  <si>
    <t>Amortización</t>
  </si>
  <si>
    <t>Flujo de Fondos</t>
  </si>
  <si>
    <t>Coupon rate</t>
  </si>
  <si>
    <t>USD 2041</t>
  </si>
  <si>
    <t>USD 2030</t>
  </si>
  <si>
    <t>USD 2046</t>
  </si>
  <si>
    <t>USD 2035</t>
  </si>
  <si>
    <t>Valor Presente</t>
  </si>
  <si>
    <t>DURACION</t>
  </si>
  <si>
    <t>DM</t>
  </si>
  <si>
    <t>TIR N.A.</t>
  </si>
  <si>
    <t>Tiempo en años (1)</t>
  </si>
  <si>
    <t>(1)*(2)</t>
  </si>
  <si>
    <r>
      <t xml:space="preserve">V.P.Cupón/Precio                              Ponderadores  </t>
    </r>
    <r>
      <rPr>
        <b/>
        <sz val="11"/>
        <color theme="3" tint="-0.499984740745262"/>
        <rFont val="Calibri"/>
        <family val="2"/>
        <scheme val="minor"/>
      </rPr>
      <t>(2)</t>
    </r>
  </si>
  <si>
    <r>
      <t xml:space="preserve">Tiempo en años </t>
    </r>
    <r>
      <rPr>
        <b/>
        <sz val="11"/>
        <color theme="3" tint="-0.499984740745262"/>
        <rFont val="Calibri"/>
        <family val="2"/>
        <scheme val="minor"/>
      </rPr>
      <t>(1)</t>
    </r>
  </si>
  <si>
    <t>D.M.</t>
  </si>
  <si>
    <t>V.P.Cupón/Precio                              Ponderadores  (2)</t>
  </si>
  <si>
    <t>TIR. N.A.</t>
  </si>
  <si>
    <t>Especie</t>
  </si>
  <si>
    <t>GD29</t>
  </si>
  <si>
    <t>GD30</t>
  </si>
  <si>
    <t>GD35</t>
  </si>
  <si>
    <t>GD38</t>
  </si>
  <si>
    <t>GD41</t>
  </si>
  <si>
    <t>GD46</t>
  </si>
  <si>
    <t>Precio C/100 V.N.</t>
  </si>
  <si>
    <t>PRECIO</t>
  </si>
  <si>
    <t>Fecha de emisión</t>
  </si>
  <si>
    <t>Interés corrido</t>
  </si>
  <si>
    <t>Paridad</t>
  </si>
  <si>
    <t>Valor Técnico</t>
  </si>
  <si>
    <t>t*(1+t)*VP</t>
  </si>
  <si>
    <t>CONVEXIDAD</t>
  </si>
  <si>
    <t>Convexidad/100</t>
  </si>
  <si>
    <t>t x FF/SUMA(FF)</t>
  </si>
  <si>
    <t>PPV</t>
  </si>
  <si>
    <t>PPV*</t>
  </si>
  <si>
    <t>* Plazo Promedio de Vida</t>
  </si>
  <si>
    <t>Fecha dePago cupón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</si>
</sst>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%"/>
    <numFmt numFmtId="165" formatCode="0.000"/>
    <numFmt numFmtId="166" formatCode="0.000%"/>
    <numFmt numFmtId="167" formatCode="0E+00"/>
    <numFmt numFmtId="168" formatCode="0.0000"/>
    <numFmt numFmtId="169" formatCode="0.0000%"/>
    <numFmt numFmtId="170" formatCode="0.00000"/>
    <numFmt numFmtId="171" formatCode="0.0"/>
    <numFmt numFmtId="172" formatCode="#,##0.0"/>
    <numFmt numFmtId="173" formatCode="#,##0.000"/>
    <numFmt numFmtId="174" formatCode="0.0000000000"/>
    <numFmt numFmtId="175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.5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.5"/>
      <color theme="3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2" borderId="5" xfId="0" applyFont="1" applyFill="1" applyBorder="1"/>
    <xf numFmtId="165" fontId="10" fillId="2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Alignment="1">
      <alignment horizontal="center"/>
    </xf>
    <xf numFmtId="166" fontId="9" fillId="4" borderId="4" xfId="0" applyNumberFormat="1" applyFont="1" applyFill="1" applyBorder="1" applyAlignment="1">
      <alignment horizontal="center"/>
    </xf>
    <xf numFmtId="166" fontId="9" fillId="5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9" fillId="6" borderId="8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0" borderId="0" xfId="0" applyNumberFormat="1"/>
    <xf numFmtId="167" fontId="0" fillId="2" borderId="0" xfId="0" applyNumberFormat="1" applyFont="1" applyFill="1" applyBorder="1"/>
    <xf numFmtId="165" fontId="0" fillId="0" borderId="0" xfId="0" applyNumberFormat="1"/>
    <xf numFmtId="165" fontId="0" fillId="2" borderId="0" xfId="0" applyNumberFormat="1" applyFont="1" applyFill="1" applyBorder="1" applyAlignment="1">
      <alignment horizontal="center"/>
    </xf>
    <xf numFmtId="166" fontId="3" fillId="7" borderId="4" xfId="0" applyNumberFormat="1" applyFont="1" applyFill="1" applyBorder="1"/>
    <xf numFmtId="10" fontId="3" fillId="8" borderId="4" xfId="0" applyNumberFormat="1" applyFont="1" applyFill="1" applyBorder="1"/>
    <xf numFmtId="0" fontId="0" fillId="8" borderId="0" xfId="0" applyFill="1" applyBorder="1"/>
    <xf numFmtId="0" fontId="0" fillId="8" borderId="0" xfId="0" applyFill="1"/>
    <xf numFmtId="0" fontId="0" fillId="7" borderId="0" xfId="0" applyFill="1"/>
    <xf numFmtId="166" fontId="3" fillId="7" borderId="0" xfId="0" applyNumberFormat="1" applyFont="1" applyFill="1"/>
    <xf numFmtId="0" fontId="0" fillId="7" borderId="0" xfId="0" applyFill="1" applyBorder="1"/>
    <xf numFmtId="0" fontId="0" fillId="7" borderId="7" xfId="0" applyFill="1" applyBorder="1"/>
    <xf numFmtId="165" fontId="0" fillId="2" borderId="7" xfId="0" applyNumberFormat="1" applyFont="1" applyFill="1" applyBorder="1" applyAlignment="1">
      <alignment horizontal="center"/>
    </xf>
    <xf numFmtId="0" fontId="0" fillId="0" borderId="0" xfId="0" applyBorder="1"/>
    <xf numFmtId="168" fontId="0" fillId="0" borderId="0" xfId="0" applyNumberFormat="1"/>
    <xf numFmtId="0" fontId="2" fillId="0" borderId="2" xfId="0" applyFont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9" fontId="3" fillId="2" borderId="4" xfId="0" applyNumberFormat="1" applyFont="1" applyFill="1" applyBorder="1"/>
    <xf numFmtId="168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14" fontId="12" fillId="2" borderId="0" xfId="0" applyNumberFormat="1" applyFont="1" applyFill="1" applyBorder="1" applyAlignment="1">
      <alignment horizontal="center"/>
    </xf>
    <xf numFmtId="10" fontId="9" fillId="2" borderId="4" xfId="0" applyNumberFormat="1" applyFont="1" applyFill="1" applyBorder="1" applyAlignment="1">
      <alignment horizontal="center"/>
    </xf>
    <xf numFmtId="169" fontId="3" fillId="2" borderId="8" xfId="0" applyNumberFormat="1" applyFont="1" applyFill="1" applyBorder="1"/>
    <xf numFmtId="14" fontId="12" fillId="2" borderId="7" xfId="0" applyNumberFormat="1" applyFont="1" applyFill="1" applyBorder="1" applyAlignment="1">
      <alignment horizontal="center"/>
    </xf>
    <xf numFmtId="168" fontId="12" fillId="2" borderId="7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 horizontal="center"/>
    </xf>
    <xf numFmtId="0" fontId="3" fillId="10" borderId="8" xfId="0" applyFont="1" applyFill="1" applyBorder="1"/>
    <xf numFmtId="0" fontId="3" fillId="10" borderId="4" xfId="0" applyFont="1" applyFill="1" applyBorder="1"/>
    <xf numFmtId="0" fontId="13" fillId="0" borderId="0" xfId="0" applyFont="1"/>
    <xf numFmtId="10" fontId="3" fillId="10" borderId="4" xfId="0" applyNumberFormat="1" applyFont="1" applyFill="1" applyBorder="1"/>
    <xf numFmtId="0" fontId="3" fillId="8" borderId="4" xfId="0" applyFont="1" applyFill="1" applyBorder="1"/>
    <xf numFmtId="9" fontId="3" fillId="8" borderId="4" xfId="0" applyNumberFormat="1" applyFont="1" applyFill="1" applyBorder="1"/>
    <xf numFmtId="10" fontId="3" fillId="5" borderId="4" xfId="0" applyNumberFormat="1" applyFont="1" applyFill="1" applyBorder="1"/>
    <xf numFmtId="169" fontId="3" fillId="5" borderId="4" xfId="0" applyNumberFormat="1" applyFont="1" applyFill="1" applyBorder="1"/>
    <xf numFmtId="0" fontId="0" fillId="4" borderId="0" xfId="0" applyFill="1"/>
    <xf numFmtId="166" fontId="3" fillId="4" borderId="4" xfId="0" applyNumberFormat="1" applyFont="1" applyFill="1" applyBorder="1"/>
    <xf numFmtId="0" fontId="3" fillId="3" borderId="4" xfId="0" applyFont="1" applyFill="1" applyBorder="1"/>
    <xf numFmtId="10" fontId="3" fillId="3" borderId="4" xfId="0" applyNumberFormat="1" applyFont="1" applyFill="1" applyBorder="1"/>
    <xf numFmtId="0" fontId="3" fillId="11" borderId="4" xfId="0" applyFont="1" applyFill="1" applyBorder="1"/>
    <xf numFmtId="166" fontId="3" fillId="11" borderId="4" xfId="0" applyNumberFormat="1" applyFont="1" applyFill="1" applyBorder="1"/>
    <xf numFmtId="0" fontId="0" fillId="12" borderId="0" xfId="0" applyFill="1"/>
    <xf numFmtId="0" fontId="3" fillId="12" borderId="4" xfId="0" applyFont="1" applyFill="1" applyBorder="1"/>
    <xf numFmtId="10" fontId="3" fillId="12" borderId="4" xfId="0" applyNumberFormat="1" applyFont="1" applyFill="1" applyBorder="1"/>
    <xf numFmtId="0" fontId="0" fillId="13" borderId="0" xfId="0" applyFill="1"/>
    <xf numFmtId="166" fontId="3" fillId="13" borderId="0" xfId="0" applyNumberFormat="1" applyFont="1" applyFill="1"/>
    <xf numFmtId="0" fontId="0" fillId="14" borderId="0" xfId="0" applyFill="1"/>
    <xf numFmtId="166" fontId="3" fillId="14" borderId="0" xfId="0" applyNumberFormat="1" applyFont="1" applyFill="1"/>
    <xf numFmtId="0" fontId="0" fillId="14" borderId="0" xfId="0" applyFill="1" applyBorder="1"/>
    <xf numFmtId="0" fontId="0" fillId="14" borderId="7" xfId="0" applyFill="1" applyBorder="1"/>
    <xf numFmtId="0" fontId="0" fillId="15" borderId="0" xfId="0" applyFont="1" applyFill="1" applyBorder="1" applyAlignment="1">
      <alignment vertical="center"/>
    </xf>
    <xf numFmtId="166" fontId="3" fillId="15" borderId="0" xfId="1" applyNumberFormat="1" applyFont="1" applyFill="1" applyBorder="1" applyAlignment="1">
      <alignment vertical="center"/>
    </xf>
    <xf numFmtId="10" fontId="3" fillId="16" borderId="4" xfId="0" applyNumberFormat="1" applyFont="1" applyFill="1" applyBorder="1" applyAlignment="1">
      <alignment vertical="center"/>
    </xf>
    <xf numFmtId="169" fontId="3" fillId="17" borderId="4" xfId="0" applyNumberFormat="1" applyFont="1" applyFill="1" applyBorder="1"/>
    <xf numFmtId="10" fontId="3" fillId="5" borderId="0" xfId="0" applyNumberFormat="1" applyFont="1" applyFill="1" applyBorder="1"/>
    <xf numFmtId="166" fontId="3" fillId="5" borderId="0" xfId="0" applyNumberFormat="1" applyFont="1" applyFill="1" applyBorder="1"/>
    <xf numFmtId="166" fontId="3" fillId="6" borderId="0" xfId="0" applyNumberFormat="1" applyFont="1" applyFill="1" applyBorder="1"/>
    <xf numFmtId="0" fontId="3" fillId="4" borderId="0" xfId="0" applyFont="1" applyFill="1" applyBorder="1"/>
    <xf numFmtId="0" fontId="0" fillId="4" borderId="0" xfId="0" applyFill="1" applyBorder="1"/>
    <xf numFmtId="166" fontId="3" fillId="4" borderId="0" xfId="0" applyNumberFormat="1" applyFont="1" applyFill="1" applyBorder="1"/>
    <xf numFmtId="0" fontId="0" fillId="4" borderId="7" xfId="0" applyFill="1" applyBorder="1"/>
    <xf numFmtId="170" fontId="10" fillId="2" borderId="0" xfId="0" applyNumberFormat="1" applyFont="1" applyFill="1" applyBorder="1"/>
    <xf numFmtId="170" fontId="10" fillId="2" borderId="7" xfId="0" applyNumberFormat="1" applyFont="1" applyFill="1" applyBorder="1"/>
    <xf numFmtId="1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1" fontId="12" fillId="2" borderId="0" xfId="0" applyNumberFormat="1" applyFont="1" applyFill="1" applyBorder="1" applyAlignment="1">
      <alignment horizontal="center"/>
    </xf>
    <xf numFmtId="0" fontId="0" fillId="19" borderId="0" xfId="0" applyFill="1"/>
    <xf numFmtId="0" fontId="0" fillId="19" borderId="0" xfId="0" applyFill="1" applyAlignment="1">
      <alignment horizontal="center"/>
    </xf>
    <xf numFmtId="2" fontId="6" fillId="19" borderId="0" xfId="0" applyNumberFormat="1" applyFont="1" applyFill="1" applyBorder="1" applyAlignment="1">
      <alignment horizontal="center" vertical="center"/>
    </xf>
    <xf numFmtId="164" fontId="6" fillId="19" borderId="0" xfId="1" applyNumberFormat="1" applyFont="1" applyFill="1" applyBorder="1" applyAlignment="1">
      <alignment horizontal="center" vertical="center"/>
    </xf>
    <xf numFmtId="10" fontId="6" fillId="19" borderId="0" xfId="1" applyNumberFormat="1" applyFont="1" applyFill="1" applyBorder="1" applyAlignment="1">
      <alignment horizontal="center" vertical="center"/>
    </xf>
    <xf numFmtId="0" fontId="12" fillId="2" borderId="0" xfId="0" applyFont="1" applyFill="1"/>
    <xf numFmtId="10" fontId="12" fillId="2" borderId="7" xfId="1" applyNumberFormat="1" applyFont="1" applyFill="1" applyBorder="1" applyAlignment="1">
      <alignment horizontal="center"/>
    </xf>
    <xf numFmtId="171" fontId="12" fillId="2" borderId="7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171" fontId="15" fillId="2" borderId="11" xfId="0" applyNumberFormat="1" applyFont="1" applyFill="1" applyBorder="1" applyAlignment="1">
      <alignment horizontal="center"/>
    </xf>
    <xf numFmtId="171" fontId="15" fillId="2" borderId="12" xfId="0" applyNumberFormat="1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70" fontId="0" fillId="2" borderId="0" xfId="0" applyNumberFormat="1" applyFont="1" applyFill="1" applyAlignment="1">
      <alignment horizontal="center"/>
    </xf>
    <xf numFmtId="170" fontId="0" fillId="2" borderId="7" xfId="0" applyNumberFormat="1" applyFont="1" applyFill="1" applyBorder="1" applyAlignment="1">
      <alignment horizontal="center"/>
    </xf>
    <xf numFmtId="0" fontId="6" fillId="2" borderId="0" xfId="0" applyFont="1" applyFill="1" applyBorder="1"/>
    <xf numFmtId="14" fontId="0" fillId="15" borderId="0" xfId="0" applyNumberFormat="1" applyFont="1" applyFill="1" applyBorder="1" applyAlignment="1">
      <alignment horizontal="center" vertical="center"/>
    </xf>
    <xf numFmtId="14" fontId="0" fillId="16" borderId="0" xfId="0" applyNumberFormat="1" applyFont="1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/>
    </xf>
    <xf numFmtId="14" fontId="0" fillId="5" borderId="0" xfId="0" applyNumberFormat="1" applyFont="1" applyFill="1" applyBorder="1" applyAlignment="1">
      <alignment horizontal="center"/>
    </xf>
    <xf numFmtId="14" fontId="0" fillId="4" borderId="0" xfId="0" applyNumberFormat="1" applyFont="1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17" borderId="0" xfId="0" applyNumberFormat="1" applyFont="1" applyFill="1" applyBorder="1" applyAlignment="1">
      <alignment horizontal="center"/>
    </xf>
    <xf numFmtId="14" fontId="0" fillId="6" borderId="0" xfId="0" applyNumberFormat="1" applyFont="1" applyFill="1" applyBorder="1" applyAlignment="1">
      <alignment horizontal="center"/>
    </xf>
    <xf numFmtId="14" fontId="0" fillId="4" borderId="7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168" fontId="10" fillId="2" borderId="7" xfId="0" applyNumberFormat="1" applyFont="1" applyFill="1" applyBorder="1" applyAlignment="1">
      <alignment horizontal="center"/>
    </xf>
    <xf numFmtId="170" fontId="10" fillId="2" borderId="0" xfId="0" applyNumberFormat="1" applyFont="1" applyFill="1" applyBorder="1" applyAlignment="1">
      <alignment horizontal="center"/>
    </xf>
    <xf numFmtId="170" fontId="10" fillId="2" borderId="7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0" fontId="12" fillId="2" borderId="0" xfId="1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  <xf numFmtId="2" fontId="6" fillId="19" borderId="0" xfId="1" applyNumberFormat="1" applyFont="1" applyFill="1" applyBorder="1" applyAlignment="1">
      <alignment horizontal="center" vertical="center"/>
    </xf>
    <xf numFmtId="171" fontId="6" fillId="19" borderId="0" xfId="1" applyNumberFormat="1" applyFont="1" applyFill="1" applyBorder="1" applyAlignment="1">
      <alignment horizontal="center" vertical="center"/>
    </xf>
    <xf numFmtId="171" fontId="15" fillId="19" borderId="0" xfId="0" applyNumberFormat="1" applyFont="1" applyFill="1" applyBorder="1" applyAlignment="1">
      <alignment horizontal="center" vertical="center"/>
    </xf>
    <xf numFmtId="171" fontId="15" fillId="19" borderId="0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/>
    </xf>
    <xf numFmtId="14" fontId="0" fillId="6" borderId="0" xfId="0" applyNumberFormat="1" applyFill="1" applyBorder="1" applyAlignment="1">
      <alignment horizontal="center"/>
    </xf>
    <xf numFmtId="14" fontId="0" fillId="6" borderId="7" xfId="0" applyNumberFormat="1" applyFill="1" applyBorder="1" applyAlignment="1">
      <alignment horizontal="center"/>
    </xf>
    <xf numFmtId="14" fontId="0" fillId="8" borderId="0" xfId="0" applyNumberFormat="1" applyFont="1" applyFill="1" applyBorder="1" applyAlignment="1">
      <alignment horizontal="center"/>
    </xf>
    <xf numFmtId="14" fontId="0" fillId="10" borderId="0" xfId="0" applyNumberFormat="1" applyFont="1" applyFill="1" applyBorder="1" applyAlignment="1">
      <alignment horizontal="center"/>
    </xf>
    <xf numFmtId="14" fontId="0" fillId="10" borderId="7" xfId="0" applyNumberFormat="1" applyFont="1" applyFill="1" applyBorder="1" applyAlignment="1">
      <alignment horizontal="center"/>
    </xf>
    <xf numFmtId="14" fontId="0" fillId="7" borderId="0" xfId="0" applyNumberFormat="1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14" fontId="0" fillId="7" borderId="7" xfId="0" applyNumberFormat="1" applyFill="1" applyBorder="1" applyAlignment="1">
      <alignment horizontal="center"/>
    </xf>
    <xf numFmtId="164" fontId="15" fillId="19" borderId="0" xfId="1" applyNumberFormat="1" applyFont="1" applyFill="1" applyBorder="1" applyAlignment="1">
      <alignment horizontal="center" vertical="center"/>
    </xf>
    <xf numFmtId="14" fontId="0" fillId="11" borderId="0" xfId="0" applyNumberFormat="1" applyFill="1" applyBorder="1" applyAlignment="1">
      <alignment horizontal="center"/>
    </xf>
    <xf numFmtId="14" fontId="0" fillId="12" borderId="0" xfId="0" applyNumberFormat="1" applyFill="1" applyBorder="1" applyAlignment="1">
      <alignment horizontal="center"/>
    </xf>
    <xf numFmtId="14" fontId="0" fillId="13" borderId="0" xfId="0" applyNumberFormat="1" applyFill="1" applyBorder="1" applyAlignment="1">
      <alignment horizontal="center"/>
    </xf>
    <xf numFmtId="14" fontId="0" fillId="14" borderId="0" xfId="0" applyNumberFormat="1" applyFill="1" applyBorder="1" applyAlignment="1">
      <alignment horizontal="center"/>
    </xf>
    <xf numFmtId="14" fontId="0" fillId="14" borderId="7" xfId="0" applyNumberFormat="1" applyFill="1" applyBorder="1" applyAlignment="1">
      <alignment horizontal="center"/>
    </xf>
    <xf numFmtId="10" fontId="1" fillId="2" borderId="0" xfId="1" applyNumberFormat="1" applyFont="1" applyFill="1" applyBorder="1" applyAlignment="1">
      <alignment horizontal="center"/>
    </xf>
    <xf numFmtId="10" fontId="1" fillId="2" borderId="7" xfId="1" applyNumberFormat="1" applyFont="1" applyFill="1" applyBorder="1" applyAlignment="1">
      <alignment horizontal="center"/>
    </xf>
    <xf numFmtId="10" fontId="1" fillId="2" borderId="0" xfId="1" applyNumberFormat="1" applyFont="1" applyFill="1" applyAlignment="1">
      <alignment horizontal="center"/>
    </xf>
    <xf numFmtId="2" fontId="15" fillId="2" borderId="11" xfId="0" applyNumberFormat="1" applyFont="1" applyFill="1" applyBorder="1" applyAlignment="1">
      <alignment horizontal="center"/>
    </xf>
    <xf numFmtId="2" fontId="15" fillId="2" borderId="12" xfId="0" applyNumberFormat="1" applyFont="1" applyFill="1" applyBorder="1" applyAlignment="1">
      <alignment horizontal="center"/>
    </xf>
    <xf numFmtId="0" fontId="16" fillId="9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3" fillId="2" borderId="0" xfId="0" applyFont="1" applyFill="1"/>
    <xf numFmtId="174" fontId="0" fillId="2" borderId="0" xfId="0" applyNumberFormat="1" applyFill="1"/>
    <xf numFmtId="14" fontId="3" fillId="2" borderId="1" xfId="0" applyNumberFormat="1" applyFont="1" applyFill="1" applyBorder="1" applyAlignment="1">
      <alignment horizontal="center" vertical="center"/>
    </xf>
    <xf numFmtId="10" fontId="15" fillId="0" borderId="1" xfId="1" applyNumberFormat="1" applyFont="1" applyBorder="1" applyAlignment="1">
      <alignment horizontal="center" vertical="center"/>
    </xf>
    <xf numFmtId="0" fontId="13" fillId="2" borderId="0" xfId="0" applyFont="1" applyFill="1"/>
    <xf numFmtId="0" fontId="4" fillId="2" borderId="0" xfId="0" applyFont="1" applyFill="1"/>
    <xf numFmtId="2" fontId="6" fillId="0" borderId="18" xfId="1" applyNumberFormat="1" applyFont="1" applyBorder="1" applyAlignment="1">
      <alignment horizontal="center" vertical="center"/>
    </xf>
    <xf numFmtId="164" fontId="3" fillId="2" borderId="0" xfId="1" applyNumberFormat="1" applyFont="1" applyFill="1"/>
    <xf numFmtId="0" fontId="5" fillId="9" borderId="0" xfId="0" applyFont="1" applyFill="1" applyAlignment="1">
      <alignment horizontal="center" vertical="center"/>
    </xf>
    <xf numFmtId="171" fontId="0" fillId="2" borderId="0" xfId="0" applyNumberFormat="1" applyFont="1" applyFill="1" applyBorder="1" applyAlignment="1">
      <alignment horizontal="center"/>
    </xf>
    <xf numFmtId="171" fontId="0" fillId="2" borderId="7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 vertical="center"/>
    </xf>
    <xf numFmtId="171" fontId="6" fillId="2" borderId="0" xfId="1" applyNumberFormat="1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171" fontId="15" fillId="2" borderId="2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4" fontId="15" fillId="19" borderId="0" xfId="1" applyNumberFormat="1" applyFont="1" applyFill="1" applyBorder="1" applyAlignment="1">
      <alignment horizontal="center" vertical="center"/>
    </xf>
    <xf numFmtId="4" fontId="15" fillId="2" borderId="0" xfId="1" applyNumberFormat="1" applyFont="1" applyFill="1" applyBorder="1" applyAlignment="1">
      <alignment horizontal="center" vertical="center"/>
    </xf>
    <xf numFmtId="2" fontId="6" fillId="2" borderId="0" xfId="1" applyNumberFormat="1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171" fontId="19" fillId="2" borderId="0" xfId="0" applyNumberFormat="1" applyFont="1" applyFill="1" applyBorder="1" applyAlignment="1">
      <alignment horizontal="center"/>
    </xf>
    <xf numFmtId="171" fontId="15" fillId="15" borderId="0" xfId="0" applyNumberFormat="1" applyFont="1" applyFill="1" applyBorder="1" applyAlignment="1">
      <alignment horizontal="center" vertical="center"/>
    </xf>
    <xf numFmtId="164" fontId="15" fillId="15" borderId="0" xfId="0" applyNumberFormat="1" applyFont="1" applyFill="1" applyBorder="1" applyAlignment="1">
      <alignment horizontal="center" vertical="center"/>
    </xf>
    <xf numFmtId="165" fontId="15" fillId="15" borderId="0" xfId="0" applyNumberFormat="1" applyFont="1" applyFill="1" applyBorder="1" applyAlignment="1">
      <alignment horizontal="center" vertical="center"/>
    </xf>
    <xf numFmtId="173" fontId="15" fillId="15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64" fontId="8" fillId="2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4" fontId="6" fillId="19" borderId="0" xfId="0" applyNumberFormat="1" applyFont="1" applyFill="1" applyBorder="1" applyAlignment="1">
      <alignment horizontal="center" vertical="center"/>
    </xf>
    <xf numFmtId="172" fontId="6" fillId="19" borderId="0" xfId="1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center"/>
    </xf>
    <xf numFmtId="173" fontId="15" fillId="2" borderId="0" xfId="0" applyNumberFormat="1" applyFont="1" applyFill="1" applyBorder="1" applyAlignment="1">
      <alignment horizontal="center" vertical="center"/>
    </xf>
    <xf numFmtId="10" fontId="15" fillId="0" borderId="11" xfId="0" applyNumberFormat="1" applyFont="1" applyBorder="1" applyAlignment="1">
      <alignment horizontal="center" vertical="center"/>
    </xf>
    <xf numFmtId="4" fontId="15" fillId="15" borderId="0" xfId="0" applyNumberFormat="1" applyFont="1" applyFill="1" applyBorder="1" applyAlignment="1">
      <alignment horizontal="center" vertical="center"/>
    </xf>
    <xf numFmtId="4" fontId="6" fillId="19" borderId="0" xfId="1" applyNumberFormat="1" applyFont="1" applyFill="1" applyBorder="1" applyAlignment="1">
      <alignment horizontal="center" vertical="center"/>
    </xf>
    <xf numFmtId="2" fontId="15" fillId="19" borderId="0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175" fontId="0" fillId="2" borderId="0" xfId="0" applyNumberFormat="1" applyFill="1"/>
    <xf numFmtId="10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10" fontId="16" fillId="2" borderId="0" xfId="1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10" fontId="6" fillId="2" borderId="15" xfId="1" applyNumberFormat="1" applyFont="1" applyFill="1" applyBorder="1" applyAlignment="1">
      <alignment horizontal="center" vertical="center"/>
    </xf>
    <xf numFmtId="10" fontId="6" fillId="2" borderId="9" xfId="1" applyNumberFormat="1" applyFont="1" applyFill="1" applyBorder="1" applyAlignment="1">
      <alignment horizontal="center" vertical="center"/>
    </xf>
    <xf numFmtId="10" fontId="6" fillId="2" borderId="18" xfId="1" applyNumberFormat="1" applyFont="1" applyFill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2" fontId="6" fillId="0" borderId="22" xfId="1" applyNumberFormat="1" applyFont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2" fontId="6" fillId="0" borderId="23" xfId="1" applyNumberFormat="1" applyFont="1" applyBorder="1" applyAlignment="1">
      <alignment horizontal="center" vertical="center"/>
    </xf>
    <xf numFmtId="10" fontId="6" fillId="16" borderId="24" xfId="1" applyNumberFormat="1" applyFont="1" applyFill="1" applyBorder="1" applyAlignment="1">
      <alignment horizontal="center" vertical="center"/>
    </xf>
    <xf numFmtId="10" fontId="6" fillId="16" borderId="25" xfId="1" applyNumberFormat="1" applyFont="1" applyFill="1" applyBorder="1" applyAlignment="1">
      <alignment horizontal="center" vertical="center"/>
    </xf>
    <xf numFmtId="10" fontId="6" fillId="16" borderId="26" xfId="1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0">
                <a:solidFill>
                  <a:schemeClr val="tx2">
                    <a:lumMod val="75000"/>
                  </a:schemeClr>
                </a:solidFill>
              </a:rPr>
              <a:t>Curva de Rendimientos</a:t>
            </a:r>
          </a:p>
        </c:rich>
      </c:tx>
      <c:layout>
        <c:manualLayout>
          <c:xMode val="edge"/>
          <c:yMode val="edge"/>
          <c:x val="0.37573094020111936"/>
          <c:y val="2.4865691263971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'Curva de rendimientos'!$H$1</c:f>
              <c:strCache>
                <c:ptCount val="1"/>
                <c:pt idx="0">
                  <c:v>TIR N.A.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587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1381197547928585E-2"/>
                  <c:y val="7.1340131014186028E-2"/>
                </c:manualLayout>
              </c:layout>
              <c:tx>
                <c:rich>
                  <a:bodyPr/>
                  <a:lstStyle/>
                  <a:p>
                    <a:fld id="{63EE5390-55F7-42A4-B99D-DA9A45E93CD0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14E-4805-97F8-3E10730CB325}"/>
                </c:ext>
              </c:extLst>
            </c:dLbl>
            <c:dLbl>
              <c:idx val="1"/>
              <c:layout>
                <c:manualLayout>
                  <c:x val="1.6854317601642372E-2"/>
                  <c:y val="-2.6815521652754137E-2"/>
                </c:manualLayout>
              </c:layout>
              <c:tx>
                <c:rich>
                  <a:bodyPr/>
                  <a:lstStyle/>
                  <a:p>
                    <a:fld id="{764AF320-E15B-4577-9DA6-3C4155512A6E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14E-4805-97F8-3E10730CB325}"/>
                </c:ext>
              </c:extLst>
            </c:dLbl>
            <c:dLbl>
              <c:idx val="2"/>
              <c:layout>
                <c:manualLayout>
                  <c:x val="-2.7245016636557567E-2"/>
                  <c:y val="-6.3299663299663328E-2"/>
                </c:manualLayout>
              </c:layout>
              <c:tx>
                <c:rich>
                  <a:bodyPr/>
                  <a:lstStyle/>
                  <a:p>
                    <a:fld id="{BFA2CA6B-BC5A-4B3B-9214-1F284504CBEB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14E-4805-97F8-3E10730CB325}"/>
                </c:ext>
              </c:extLst>
            </c:dLbl>
            <c:dLbl>
              <c:idx val="3"/>
              <c:layout>
                <c:manualLayout>
                  <c:x val="-5.8327830683106784E-2"/>
                  <c:y val="3.4413748994202478E-2"/>
                </c:manualLayout>
              </c:layout>
              <c:tx>
                <c:rich>
                  <a:bodyPr/>
                  <a:lstStyle/>
                  <a:p>
                    <a:fld id="{47650A1C-9E8F-4149-B4B8-AE0A97B6D465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14E-4805-97F8-3E10730CB325}"/>
                </c:ext>
              </c:extLst>
            </c:dLbl>
            <c:dLbl>
              <c:idx val="4"/>
              <c:layout>
                <c:manualLayout>
                  <c:x val="1.6114426757040394E-3"/>
                  <c:y val="0.13329953618811335"/>
                </c:manualLayout>
              </c:layout>
              <c:tx>
                <c:rich>
                  <a:bodyPr/>
                  <a:lstStyle/>
                  <a:p>
                    <a:fld id="{D5FE9339-B808-4935-A384-4EC2CFD52383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14E-4805-97F8-3E10730CB325}"/>
                </c:ext>
              </c:extLst>
            </c:dLbl>
            <c:dLbl>
              <c:idx val="5"/>
              <c:layout>
                <c:manualLayout>
                  <c:x val="2.5383686473992566E-2"/>
                  <c:y val="-5.3213245604573398E-2"/>
                </c:manualLayout>
              </c:layout>
              <c:tx>
                <c:rich>
                  <a:bodyPr/>
                  <a:lstStyle/>
                  <a:p>
                    <a:fld id="{0B89DD45-02E6-4C72-A88E-3C3AADD6909E}" type="CELLRANGE">
                      <a:rPr lang="en-US"/>
                      <a:pPr/>
                      <a:t>[CELLRANGE]</a:t>
                    </a:fld>
                    <a:endParaRPr lang="es-A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14E-4805-97F8-3E10730CB3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1">
                    <a:lumMod val="50000"/>
                  </a:schemeClr>
                </a:solidFill>
                <a:prstDash val="sysDot"/>
              </a:ln>
              <a:effectLst/>
            </c:spPr>
            <c:trendlineType val="log"/>
            <c:backward val="0.25"/>
            <c:dispRSqr val="0"/>
            <c:dispEq val="0"/>
          </c:trendline>
          <c:xVal>
            <c:numRef>
              <c:f>'Curva de rendimientos'!$F$2:$F$7</c:f>
              <c:numCache>
                <c:formatCode>0.00</c:formatCode>
                <c:ptCount val="6"/>
                <c:pt idx="0">
                  <c:v>4.8897199078950182</c:v>
                </c:pt>
                <c:pt idx="1">
                  <c:v>5.1555090565823605</c:v>
                </c:pt>
                <c:pt idx="2">
                  <c:v>8.1770796460347626</c:v>
                </c:pt>
                <c:pt idx="3">
                  <c:v>7.060390790463476</c:v>
                </c:pt>
                <c:pt idx="4">
                  <c:v>7.9875343728549915</c:v>
                </c:pt>
                <c:pt idx="5">
                  <c:v>7.4163049158196603</c:v>
                </c:pt>
              </c:numCache>
            </c:numRef>
          </c:xVal>
          <c:yVal>
            <c:numRef>
              <c:f>'Curva de rendimientos'!$H$2:$H$7</c:f>
              <c:numCache>
                <c:formatCode>0.00%</c:formatCode>
                <c:ptCount val="6"/>
                <c:pt idx="0">
                  <c:v>0.19343176269650453</c:v>
                </c:pt>
                <c:pt idx="1">
                  <c:v>0.18847913899370017</c:v>
                </c:pt>
                <c:pt idx="2">
                  <c:v>0.16279503788683058</c:v>
                </c:pt>
                <c:pt idx="3">
                  <c:v>0.15752002521119524</c:v>
                </c:pt>
                <c:pt idx="4">
                  <c:v>0.14210808048176471</c:v>
                </c:pt>
                <c:pt idx="5">
                  <c:v>0.15795467828139076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'Curva de rendimientos'!$A$2:$A$7</c15:f>
                <c15:dlblRangeCache>
                  <c:ptCount val="6"/>
                  <c:pt idx="0">
                    <c:v>GD29</c:v>
                  </c:pt>
                  <c:pt idx="1">
                    <c:v>GD30</c:v>
                  </c:pt>
                  <c:pt idx="2">
                    <c:v>GD35</c:v>
                  </c:pt>
                  <c:pt idx="3">
                    <c:v>GD38</c:v>
                  </c:pt>
                  <c:pt idx="4">
                    <c:v>GD41</c:v>
                  </c:pt>
                  <c:pt idx="5">
                    <c:v>GD46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14E-4805-97F8-3E10730CB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7522703"/>
        <c:axId val="1987523951"/>
      </c:scatterChart>
      <c:valAx>
        <c:axId val="1987522703"/>
        <c:scaling>
          <c:orientation val="minMax"/>
          <c:max val="8.75"/>
          <c:min val="4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DURACION</a:t>
                </a:r>
              </a:p>
            </c:rich>
          </c:tx>
          <c:layout>
            <c:manualLayout>
              <c:xMode val="edge"/>
              <c:yMode val="edge"/>
              <c:x val="0.47225239205867536"/>
              <c:y val="0.929475953187011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87523951"/>
        <c:crosses val="autoZero"/>
        <c:crossBetween val="midCat"/>
        <c:majorUnit val="0.25"/>
      </c:valAx>
      <c:valAx>
        <c:axId val="1987523951"/>
        <c:scaling>
          <c:orientation val="minMax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9875227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238124</xdr:colOff>
      <xdr:row>0</xdr:row>
      <xdr:rowOff>152400</xdr:rowOff>
    </xdr:from>
    <xdr:to>
      <xdr:col>19</xdr:col>
      <xdr:colOff>371475</xdr:colOff>
      <xdr:row>16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selection activeCell="C12" sqref="C12"/>
    </sheetView>
  </sheetViews>
  <sheetFormatPr baseColWidth="10" defaultRowHeight="15" x14ac:dyDescent="0.25"/>
  <cols>
    <col min="1" max="1" width="12.85546875" customWidth="1"/>
    <col min="2" max="2" width="18.7109375" customWidth="1"/>
    <col min="3" max="4" width="12.42578125" customWidth="1"/>
    <col min="5" max="6" width="12.85546875" customWidth="1"/>
    <col min="7" max="7" width="17.140625" customWidth="1"/>
    <col min="8" max="8" width="12.85546875" customWidth="1"/>
  </cols>
  <sheetData>
    <row r="1" spans="1:20" ht="19.5" customHeight="1" thickBot="1" x14ac:dyDescent="0.3">
      <c r="A1" s="144" t="s">
        <v>21</v>
      </c>
      <c r="B1" s="144" t="s">
        <v>28</v>
      </c>
      <c r="C1" s="165" t="s">
        <v>32</v>
      </c>
      <c r="D1" s="165" t="s">
        <v>39</v>
      </c>
      <c r="E1" s="144" t="s">
        <v>12</v>
      </c>
      <c r="F1" s="144" t="s">
        <v>11</v>
      </c>
      <c r="G1" s="144" t="s">
        <v>36</v>
      </c>
      <c r="H1" s="144" t="s">
        <v>13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1.75" customHeight="1" x14ac:dyDescent="0.25">
      <c r="A2" s="153" t="s">
        <v>22</v>
      </c>
      <c r="B2" s="203">
        <f ca="1">XNPV('GD29'!O4,'GD29'!F2:F18,'GD29'!C2:C18)</f>
        <v>40.999999388378185</v>
      </c>
      <c r="C2" s="205">
        <f ca="1">'GD29'!Q6</f>
        <v>0.408954886950464</v>
      </c>
      <c r="D2" s="150">
        <f ca="1">'GD29'!N8</f>
        <v>5.3614657210401893</v>
      </c>
      <c r="E2" s="150">
        <f ca="1">'GD29'!N6</f>
        <v>4.4585110793543175</v>
      </c>
      <c r="F2" s="150">
        <f ca="1">'GD29'!N5</f>
        <v>4.8897199078950182</v>
      </c>
      <c r="G2" s="208">
        <f ca="1">'GD29'!N7/100</f>
        <v>0.21744147776010592</v>
      </c>
      <c r="H2" s="212">
        <v>0.19343176269650453</v>
      </c>
      <c r="I2" s="1"/>
      <c r="J2" s="1"/>
      <c r="K2" s="1"/>
      <c r="L2" s="1"/>
      <c r="M2" s="1"/>
      <c r="N2" s="1"/>
      <c r="O2" s="1"/>
      <c r="P2" s="1"/>
      <c r="Q2" s="1"/>
    </row>
    <row r="3" spans="1:20" ht="21.75" customHeight="1" x14ac:dyDescent="0.25">
      <c r="A3" s="154" t="s">
        <v>23</v>
      </c>
      <c r="B3" s="204">
        <f ca="1">XNPV('GD30 '!O4,'GD30 '!F2:F20,'GD30 '!C2:C20)</f>
        <v>39.150000828851525</v>
      </c>
      <c r="C3" s="206">
        <f ca="1">'GD30 '!Q6</f>
        <v>0.39100039667054731</v>
      </c>
      <c r="D3" s="151">
        <f ca="1">'GD30 '!N8</f>
        <v>5.7861150820123468</v>
      </c>
      <c r="E3" s="151">
        <f ca="1">'GD30 '!N6</f>
        <v>4.711499383039996</v>
      </c>
      <c r="F3" s="151">
        <f ca="1">'GD30 '!N5</f>
        <v>5.1555090565823605</v>
      </c>
      <c r="G3" s="209">
        <f ca="1">+'GD30 '!N7/100</f>
        <v>0.24557617054050726</v>
      </c>
      <c r="H3" s="213">
        <v>0.18847913899370017</v>
      </c>
      <c r="I3" s="1"/>
      <c r="Q3" s="1"/>
    </row>
    <row r="4" spans="1:20" ht="21.75" customHeight="1" x14ac:dyDescent="0.25">
      <c r="A4" s="154" t="s">
        <v>24</v>
      </c>
      <c r="B4" s="204">
        <f ca="1">XNPV('GD35 '!O4,'GD35 '!F2:F30,'GD35 '!C2:C30)</f>
        <v>34.999999994663021</v>
      </c>
      <c r="C4" s="206">
        <f ca="1">'GD35 '!Q6</f>
        <v>0.34899663462209174</v>
      </c>
      <c r="D4" s="151">
        <f ca="1">'GD35 '!N8</f>
        <v>10.028429151326346</v>
      </c>
      <c r="E4" s="151">
        <f ca="1">'GD35 '!N6</f>
        <v>7.5615853585684363</v>
      </c>
      <c r="F4" s="151">
        <f ca="1">'GD35 '!N5</f>
        <v>8.1770796460347626</v>
      </c>
      <c r="G4" s="209">
        <f ca="1">'GD35 '!N7/100</f>
        <v>0.65334759418188371</v>
      </c>
      <c r="H4" s="213">
        <v>0.16279503788683058</v>
      </c>
      <c r="I4" s="1"/>
      <c r="Q4" s="1"/>
    </row>
    <row r="5" spans="1:20" ht="21.75" customHeight="1" x14ac:dyDescent="0.25">
      <c r="A5" s="154" t="s">
        <v>25</v>
      </c>
      <c r="B5" s="204">
        <f ca="1">XNPV('GD38 '!O4,'GD38 '!F2:F35,'GD38 '!C2:C35)</f>
        <v>43.200000239898671</v>
      </c>
      <c r="C5" s="206">
        <f ca="1">'GD38 '!Q6</f>
        <v>0.42980323033284112</v>
      </c>
      <c r="D5" s="151">
        <f ca="1">'GD38 '!N8</f>
        <v>9.4841223965501413</v>
      </c>
      <c r="E5" s="151">
        <f ca="1">'GD38 '!N6</f>
        <v>6.5449133337915129</v>
      </c>
      <c r="F5" s="151">
        <f ca="1">'GD38 '!N5</f>
        <v>7.060390790463476</v>
      </c>
      <c r="G5" s="209">
        <f ca="1">'GD38 '!N7/100</f>
        <v>0.53398668390046811</v>
      </c>
      <c r="H5" s="213">
        <v>0.15752002521119524</v>
      </c>
      <c r="I5" s="1"/>
      <c r="Q5" s="1"/>
    </row>
    <row r="6" spans="1:20" ht="21.75" customHeight="1" x14ac:dyDescent="0.25">
      <c r="A6" s="154" t="s">
        <v>26</v>
      </c>
      <c r="B6" s="204">
        <f ca="1">XNPV('GD41'!O4,'GD41'!F2:F42,'GD41'!C2:C42)</f>
        <v>40.749999343786456</v>
      </c>
      <c r="C6" s="206">
        <f ca="1">'GD41'!Q6</f>
        <v>0.40491304895840807</v>
      </c>
      <c r="D6" s="151">
        <f ca="1">'GD41'!N8</f>
        <v>11.283405103823645</v>
      </c>
      <c r="E6" s="151">
        <f ca="1">'GD41'!N6</f>
        <v>7.4576389918276931</v>
      </c>
      <c r="F6" s="151">
        <f ca="1">'GD41'!N5</f>
        <v>7.9875343728549915</v>
      </c>
      <c r="G6" s="209">
        <f ca="1">+'GD41'!N7/100</f>
        <v>0.71820534490251764</v>
      </c>
      <c r="H6" s="213">
        <v>0.14210808048176471</v>
      </c>
      <c r="I6" s="1"/>
      <c r="Q6" s="1"/>
    </row>
    <row r="7" spans="1:20" ht="21.75" customHeight="1" thickBot="1" x14ac:dyDescent="0.3">
      <c r="A7" s="155" t="s">
        <v>27</v>
      </c>
      <c r="B7" s="210">
        <f ca="1">XNPV('GD46 '!O4,'GD46 '!F2:F52,'GD46 '!C2:C52)</f>
        <v>36.599998620449107</v>
      </c>
      <c r="C7" s="207">
        <f ca="1">'GD46 '!Q6</f>
        <v>0.36495075279021921</v>
      </c>
      <c r="D7" s="163">
        <f ca="1">'GD46 '!K53</f>
        <v>12.430868680396092</v>
      </c>
      <c r="E7" s="163">
        <f ca="1">'GD46 '!N6</f>
        <v>6.8734575294473323</v>
      </c>
      <c r="F7" s="163">
        <f ca="1">'GD46 '!N5</f>
        <v>7.4163049158196603</v>
      </c>
      <c r="G7" s="211">
        <f ca="1">'GD46 '!N7/100</f>
        <v>0.6314647079478537</v>
      </c>
      <c r="H7" s="214">
        <v>0.15795467828139076</v>
      </c>
      <c r="I7" s="1"/>
      <c r="Q7" s="1"/>
    </row>
    <row r="8" spans="1:20" ht="21.75" customHeight="1" x14ac:dyDescent="0.25">
      <c r="A8" s="197" t="s">
        <v>40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ht="19.5" customHeight="1" x14ac:dyDescent="0.25">
      <c r="A9" s="196"/>
      <c r="B9" s="1"/>
      <c r="C9" s="200"/>
      <c r="D9" s="1"/>
      <c r="E9" s="1"/>
      <c r="F9" s="1"/>
      <c r="G9" s="1"/>
      <c r="H9" s="199"/>
      <c r="I9" s="1"/>
      <c r="J9" s="1"/>
      <c r="K9" s="1"/>
      <c r="L9" s="1"/>
      <c r="M9" s="1"/>
      <c r="N9" s="1"/>
      <c r="O9" s="1"/>
      <c r="P9" s="1"/>
      <c r="Q9" s="1"/>
    </row>
    <row r="10" spans="1:20" ht="19.5" customHeight="1" x14ac:dyDescent="0.25">
      <c r="A10" s="1"/>
      <c r="B10" s="1"/>
      <c r="C10" s="201"/>
      <c r="D10" s="199"/>
      <c r="E10" s="1"/>
      <c r="F10" s="198"/>
      <c r="G10" s="1"/>
      <c r="H10" s="199"/>
      <c r="I10" s="1"/>
      <c r="J10" s="1"/>
      <c r="K10" s="1"/>
      <c r="L10" s="1"/>
      <c r="M10" s="1"/>
      <c r="N10" s="1"/>
      <c r="O10" s="1"/>
      <c r="P10" s="1"/>
      <c r="Q10" s="1"/>
    </row>
    <row r="11" spans="1:20" ht="19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0" ht="19.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0" ht="19.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0" ht="19.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0" ht="19.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0" ht="19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9.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9.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O4" sqref="O4"/>
    </sheetView>
  </sheetViews>
  <sheetFormatPr baseColWidth="10" defaultRowHeight="15" x14ac:dyDescent="0.25"/>
  <cols>
    <col min="1" max="1" width="15.5703125" customWidth="1"/>
    <col min="2" max="2" width="16.5703125" customWidth="1"/>
    <col min="3" max="5" width="18.7109375" customWidth="1"/>
    <col min="6" max="8" width="20" customWidth="1"/>
    <col min="9" max="9" width="19.85546875" customWidth="1"/>
    <col min="10" max="10" width="25.85546875" customWidth="1"/>
    <col min="11" max="11" width="16" customWidth="1"/>
    <col min="12" max="12" width="4.7109375" customWidth="1"/>
    <col min="13" max="13" width="15.28515625" customWidth="1"/>
    <col min="14" max="14" width="16.28515625" customWidth="1"/>
    <col min="15" max="15" width="10.140625" customWidth="1"/>
    <col min="16" max="16" width="23.140625" customWidth="1"/>
    <col min="17" max="17" width="13.85546875" customWidth="1"/>
  </cols>
  <sheetData>
    <row r="1" spans="1:17" ht="27.75" customHeight="1" thickBot="1" x14ac:dyDescent="0.3">
      <c r="A1" s="121">
        <v>2029</v>
      </c>
      <c r="B1" s="92" t="s">
        <v>17</v>
      </c>
      <c r="C1" s="92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19</v>
      </c>
      <c r="I1" s="93" t="s">
        <v>15</v>
      </c>
      <c r="J1" s="93" t="s">
        <v>34</v>
      </c>
      <c r="K1" s="93" t="s">
        <v>37</v>
      </c>
      <c r="L1" s="156"/>
      <c r="M1" s="1"/>
      <c r="N1" s="1"/>
      <c r="O1" s="1"/>
      <c r="P1" s="1"/>
      <c r="Q1" s="1"/>
    </row>
    <row r="2" spans="1:17" ht="18" customHeight="1" thickBot="1" x14ac:dyDescent="0.3">
      <c r="A2" s="123" t="s">
        <v>5</v>
      </c>
      <c r="B2" s="122"/>
      <c r="C2" s="32">
        <f ca="1">WORKDAY(TODAY(),2)</f>
        <v>44480</v>
      </c>
      <c r="D2" s="33"/>
      <c r="E2" s="33"/>
      <c r="F2" s="177">
        <v>0</v>
      </c>
      <c r="G2" s="82"/>
      <c r="H2" s="82"/>
      <c r="J2" s="1"/>
      <c r="K2" s="1"/>
      <c r="L2" s="1"/>
      <c r="M2" s="157"/>
      <c r="N2" s="158"/>
      <c r="O2" s="1"/>
      <c r="P2" s="1"/>
      <c r="Q2" s="1"/>
    </row>
    <row r="3" spans="1:17" ht="18" customHeight="1" thickTop="1" thickBot="1" x14ac:dyDescent="0.3">
      <c r="A3" s="34"/>
      <c r="B3" s="35">
        <f t="shared" ref="B3:B18" ca="1" si="0">DAYS360($C$2,C3)/360</f>
        <v>0.24444444444444444</v>
      </c>
      <c r="C3" s="38">
        <v>44570</v>
      </c>
      <c r="D3" s="35">
        <v>0.5</v>
      </c>
      <c r="E3" s="36"/>
      <c r="F3" s="37">
        <f t="shared" ref="F3:F18" si="1">+D3+E3</f>
        <v>0.5</v>
      </c>
      <c r="G3" s="37">
        <f t="shared" ref="G3:G18" ca="1" si="2">F3/((1+$O$4)^(B3))</f>
        <v>0.47793455172038934</v>
      </c>
      <c r="H3" s="115">
        <f t="shared" ref="H3:H18" ca="1" si="3">+G3/$G$19</f>
        <v>1.1649810194408625E-2</v>
      </c>
      <c r="I3" s="37">
        <f t="shared" ref="I3:I18" ca="1" si="4">+H3*B3</f>
        <v>2.8477313808554414E-3</v>
      </c>
      <c r="J3" s="37">
        <f ca="1">G3*B3*(1+B3)</f>
        <v>0.14538651054802953</v>
      </c>
      <c r="K3" s="37">
        <f t="shared" ref="K3:K18" ca="1" si="5">(B3*F3)/$F$19</f>
        <v>1.1557656947727868E-3</v>
      </c>
      <c r="L3" s="37"/>
      <c r="M3" s="96" t="s">
        <v>29</v>
      </c>
      <c r="N3" s="148">
        <f ca="1">'Curva de rendimientos'!B2</f>
        <v>40.999999388378185</v>
      </c>
      <c r="O3" s="1"/>
      <c r="P3" s="96" t="s">
        <v>41</v>
      </c>
      <c r="Q3" s="159">
        <v>44386</v>
      </c>
    </row>
    <row r="4" spans="1:17" ht="18" customHeight="1" thickBot="1" x14ac:dyDescent="0.3">
      <c r="A4" s="34"/>
      <c r="B4" s="35">
        <f t="shared" ca="1" si="0"/>
        <v>0.74444444444444446</v>
      </c>
      <c r="C4" s="38">
        <f t="shared" ref="C4:C18" si="6">EDATE(C3,6)</f>
        <v>44751</v>
      </c>
      <c r="D4" s="35">
        <f>$A$11/360*DAYS360(C3,C4)*(100-SUM($E$2:E3))</f>
        <v>0.5</v>
      </c>
      <c r="E4" s="36"/>
      <c r="F4" s="37">
        <f t="shared" si="1"/>
        <v>0.5</v>
      </c>
      <c r="G4" s="37">
        <f t="shared" ca="1" si="2"/>
        <v>0.4357870254717553</v>
      </c>
      <c r="H4" s="115">
        <f t="shared" ca="1" si="3"/>
        <v>1.0622450529381303E-2</v>
      </c>
      <c r="I4" s="37">
        <f t="shared" ca="1" si="4"/>
        <v>7.9078242829838594E-3</v>
      </c>
      <c r="J4" s="37">
        <f t="shared" ref="J4:J18" ca="1" si="7">G4*B4*(1+B4)</f>
        <v>0.56593132357251774</v>
      </c>
      <c r="K4" s="37">
        <f t="shared" ca="1" si="5"/>
        <v>3.5198318886262149E-3</v>
      </c>
      <c r="L4" s="37"/>
      <c r="M4" s="96" t="s">
        <v>20</v>
      </c>
      <c r="N4" s="192">
        <f>'Curva de rendimientos'!H2</f>
        <v>0.19343176269650453</v>
      </c>
      <c r="O4" s="202">
        <f>(1+N4/2)^2-1</f>
        <v>0.20278572440147369</v>
      </c>
      <c r="P4" s="96" t="s">
        <v>31</v>
      </c>
      <c r="Q4" s="148">
        <f ca="1">D3/180*DAYS360(Q3,C2)</f>
        <v>0.25555555555555559</v>
      </c>
    </row>
    <row r="5" spans="1:17" ht="18" customHeight="1" thickBot="1" x14ac:dyDescent="0.35">
      <c r="A5" s="34"/>
      <c r="B5" s="35">
        <f t="shared" ca="1" si="0"/>
        <v>1.2444444444444445</v>
      </c>
      <c r="C5" s="38">
        <f t="shared" si="6"/>
        <v>44935</v>
      </c>
      <c r="D5" s="35">
        <f>$A$11/360*DAYS360(C4,C5)*(100-SUM($E$2:E4))</f>
        <v>0.5</v>
      </c>
      <c r="E5" s="36"/>
      <c r="F5" s="37">
        <f t="shared" si="1"/>
        <v>0.5</v>
      </c>
      <c r="G5" s="37">
        <f t="shared" ca="1" si="2"/>
        <v>0.39735635535433184</v>
      </c>
      <c r="H5" s="115">
        <f t="shared" ca="1" si="3"/>
        <v>9.6856904418330756E-3</v>
      </c>
      <c r="I5" s="37">
        <f t="shared" ca="1" si="4"/>
        <v>1.2053303660947827E-2</v>
      </c>
      <c r="J5" s="37">
        <f t="shared" ca="1" si="7"/>
        <v>1.1098506399427659</v>
      </c>
      <c r="K5" s="37">
        <f t="shared" ca="1" si="5"/>
        <v>5.8838980824796432E-3</v>
      </c>
      <c r="L5" s="37"/>
      <c r="M5" s="96" t="s">
        <v>11</v>
      </c>
      <c r="N5" s="142">
        <f ca="1">I19</f>
        <v>4.8897199078950182</v>
      </c>
      <c r="O5" s="1"/>
      <c r="P5" s="96" t="s">
        <v>33</v>
      </c>
      <c r="Q5" s="147">
        <f ca="1">(100-SUM(E2:E2))+Q4</f>
        <v>100.25555555555556</v>
      </c>
    </row>
    <row r="6" spans="1:17" ht="18" customHeight="1" thickBot="1" x14ac:dyDescent="0.35">
      <c r="A6" s="34"/>
      <c r="B6" s="35">
        <f t="shared" ca="1" si="0"/>
        <v>1.7444444444444445</v>
      </c>
      <c r="C6" s="38">
        <f t="shared" si="6"/>
        <v>45116</v>
      </c>
      <c r="D6" s="35">
        <f>$A$11/360*DAYS360(C5,C6)*(100-SUM($E$2:E5))</f>
        <v>0.5</v>
      </c>
      <c r="E6" s="36"/>
      <c r="F6" s="37">
        <f t="shared" si="1"/>
        <v>0.5</v>
      </c>
      <c r="G6" s="37">
        <f t="shared" ca="1" si="2"/>
        <v>0.36231476366134147</v>
      </c>
      <c r="H6" s="115">
        <f t="shared" ca="1" si="3"/>
        <v>8.8315402435186156E-3</v>
      </c>
      <c r="I6" s="37">
        <f t="shared" ca="1" si="4"/>
        <v>1.5406131313693585E-2</v>
      </c>
      <c r="J6" s="37">
        <f t="shared" ca="1" si="7"/>
        <v>1.7345931135831063</v>
      </c>
      <c r="K6" s="37">
        <f t="shared" ca="1" si="5"/>
        <v>8.247964276333071E-3</v>
      </c>
      <c r="L6" s="37"/>
      <c r="M6" s="96" t="s">
        <v>12</v>
      </c>
      <c r="N6" s="143">
        <f ca="1">N5/(1+N4/2)</f>
        <v>4.4585110793543175</v>
      </c>
      <c r="O6" s="1"/>
      <c r="P6" s="96" t="s">
        <v>32</v>
      </c>
      <c r="Q6" s="160">
        <f ca="1">N3/Q5</f>
        <v>0.408954886950464</v>
      </c>
    </row>
    <row r="7" spans="1:17" ht="18" customHeight="1" thickBot="1" x14ac:dyDescent="0.35">
      <c r="A7" s="34"/>
      <c r="B7" s="35">
        <f t="shared" ca="1" si="0"/>
        <v>2.2444444444444445</v>
      </c>
      <c r="C7" s="38">
        <f t="shared" si="6"/>
        <v>45300</v>
      </c>
      <c r="D7" s="35">
        <f>$A$11/360*DAYS360(C6,C7)*(100-SUM($E$2:E6))</f>
        <v>0.5</v>
      </c>
      <c r="E7" s="36"/>
      <c r="F7" s="37">
        <f t="shared" si="1"/>
        <v>0.5</v>
      </c>
      <c r="G7" s="37">
        <f t="shared" ca="1" si="2"/>
        <v>0.33036337835823831</v>
      </c>
      <c r="H7" s="115">
        <f t="shared" ca="1" si="3"/>
        <v>8.0527148313577109E-3</v>
      </c>
      <c r="I7" s="37">
        <f t="shared" ca="1" si="4"/>
        <v>1.8073871065936196E-2</v>
      </c>
      <c r="J7" s="37">
        <f t="shared" ca="1" si="7"/>
        <v>2.4056979640842382</v>
      </c>
      <c r="K7" s="37">
        <f t="shared" ca="1" si="5"/>
        <v>1.0612030470186499E-2</v>
      </c>
      <c r="L7" s="37"/>
      <c r="M7" s="96" t="s">
        <v>35</v>
      </c>
      <c r="N7" s="143">
        <f ca="1">J19/N3</f>
        <v>21.744147776010593</v>
      </c>
      <c r="O7" s="1"/>
      <c r="P7" s="1"/>
      <c r="Q7" s="1"/>
    </row>
    <row r="8" spans="1:17" ht="18" customHeight="1" thickBot="1" x14ac:dyDescent="0.35">
      <c r="A8" s="34"/>
      <c r="B8" s="35">
        <f t="shared" ca="1" si="0"/>
        <v>2.7444444444444445</v>
      </c>
      <c r="C8" s="38">
        <f t="shared" si="6"/>
        <v>45482</v>
      </c>
      <c r="D8" s="35">
        <f>$A$11/360*DAYS360(C7,C8)*(100-SUM($E$2:E7))</f>
        <v>0.5</v>
      </c>
      <c r="E8" s="36"/>
      <c r="F8" s="37">
        <f t="shared" si="1"/>
        <v>0.5</v>
      </c>
      <c r="G8" s="37">
        <f t="shared" ca="1" si="2"/>
        <v>0.30122968398351696</v>
      </c>
      <c r="H8" s="115">
        <f t="shared" ca="1" si="3"/>
        <v>7.3425715523131405E-3</v>
      </c>
      <c r="I8" s="37">
        <f t="shared" ca="1" si="4"/>
        <v>2.015127970468162E-2</v>
      </c>
      <c r="J8" s="37">
        <f t="shared" ca="1" si="7"/>
        <v>3.0955626747041936</v>
      </c>
      <c r="K8" s="37">
        <f t="shared" ca="1" si="5"/>
        <v>1.2976096664039927E-2</v>
      </c>
      <c r="L8" s="37"/>
      <c r="M8" s="96" t="s">
        <v>38</v>
      </c>
      <c r="N8" s="143">
        <f ca="1">K19</f>
        <v>5.3614657210401893</v>
      </c>
      <c r="O8" s="1"/>
      <c r="P8" s="1"/>
      <c r="Q8" s="1"/>
    </row>
    <row r="9" spans="1:17" ht="18" customHeight="1" x14ac:dyDescent="0.3">
      <c r="A9" s="34"/>
      <c r="B9" s="35">
        <f t="shared" ca="1" si="0"/>
        <v>3.2444444444444445</v>
      </c>
      <c r="C9" s="38">
        <f t="shared" si="6"/>
        <v>45666</v>
      </c>
      <c r="D9" s="35">
        <f>$A$11/360*DAYS360(C8,C9)*(100-SUM($E$2:E8))</f>
        <v>0.5</v>
      </c>
      <c r="E9" s="36">
        <f>100/10</f>
        <v>10</v>
      </c>
      <c r="F9" s="37">
        <f t="shared" si="1"/>
        <v>10.5</v>
      </c>
      <c r="G9" s="37">
        <f t="shared" ca="1" si="2"/>
        <v>5.7679691442757068</v>
      </c>
      <c r="H9" s="115">
        <f t="shared" ca="1" si="3"/>
        <v>0.14059612450310915</v>
      </c>
      <c r="I9" s="37">
        <f t="shared" ca="1" si="4"/>
        <v>0.45615631505453191</v>
      </c>
      <c r="J9" s="37">
        <f t="shared" ca="1" si="7"/>
        <v>79.429919781369065</v>
      </c>
      <c r="K9" s="37">
        <f t="shared" ca="1" si="5"/>
        <v>0.32214342001576046</v>
      </c>
      <c r="L9" s="37"/>
      <c r="M9" s="178"/>
      <c r="N9" s="179"/>
      <c r="O9" s="1"/>
      <c r="P9" s="1"/>
      <c r="Q9" s="1"/>
    </row>
    <row r="10" spans="1:17" ht="18" customHeight="1" x14ac:dyDescent="0.25">
      <c r="A10" s="34"/>
      <c r="B10" s="35">
        <f t="shared" ca="1" si="0"/>
        <v>3.7444444444444445</v>
      </c>
      <c r="C10" s="38">
        <f t="shared" si="6"/>
        <v>45847</v>
      </c>
      <c r="D10" s="35">
        <f>$A$11/360*DAYS360(C9,C10)*(100-SUM($E$2:E9))</f>
        <v>0.45</v>
      </c>
      <c r="E10" s="36">
        <f t="shared" ref="E10:E18" si="8">100/10</f>
        <v>10</v>
      </c>
      <c r="F10" s="37">
        <f t="shared" si="1"/>
        <v>10.45</v>
      </c>
      <c r="G10" s="37">
        <f t="shared" ca="1" si="2"/>
        <v>5.2342659773322051</v>
      </c>
      <c r="H10" s="115">
        <f t="shared" ca="1" si="3"/>
        <v>0.12758693616829278</v>
      </c>
      <c r="I10" s="37">
        <f t="shared" ca="1" si="4"/>
        <v>0.47774219431905185</v>
      </c>
      <c r="J10" s="37">
        <f t="shared" ca="1" si="7"/>
        <v>92.98835060149716</v>
      </c>
      <c r="K10" s="37">
        <f t="shared" ca="1" si="5"/>
        <v>0.37001838718150776</v>
      </c>
      <c r="L10" s="37"/>
      <c r="M10" s="10"/>
      <c r="N10" s="149"/>
      <c r="O10" s="1"/>
      <c r="P10" s="1"/>
      <c r="Q10" s="1"/>
    </row>
    <row r="11" spans="1:17" ht="18" customHeight="1" x14ac:dyDescent="0.3">
      <c r="A11" s="39">
        <v>0.01</v>
      </c>
      <c r="B11" s="35">
        <f t="shared" ca="1" si="0"/>
        <v>4.2444444444444445</v>
      </c>
      <c r="C11" s="38">
        <f t="shared" si="6"/>
        <v>46031</v>
      </c>
      <c r="D11" s="35">
        <f>$A$11/360*DAYS360(C10,C11)*(100-SUM($E$2:E10))</f>
        <v>0.4</v>
      </c>
      <c r="E11" s="36">
        <f t="shared" si="8"/>
        <v>10</v>
      </c>
      <c r="F11" s="37">
        <f t="shared" si="1"/>
        <v>10.4</v>
      </c>
      <c r="G11" s="37">
        <f t="shared" ca="1" si="2"/>
        <v>4.7498369733722248</v>
      </c>
      <c r="H11" s="115">
        <f t="shared" ca="1" si="3"/>
        <v>0.11577882158757115</v>
      </c>
      <c r="I11" s="37">
        <f t="shared" ca="1" si="4"/>
        <v>0.49141677607169088</v>
      </c>
      <c r="J11" s="37">
        <f t="shared" ca="1" si="7"/>
        <v>105.73019822801304</v>
      </c>
      <c r="K11" s="37">
        <f t="shared" ca="1" si="5"/>
        <v>0.41742054110848437</v>
      </c>
      <c r="L11" s="37"/>
      <c r="M11" s="10"/>
      <c r="N11" s="149"/>
      <c r="O11" s="1"/>
      <c r="P11" s="1"/>
      <c r="Q11" s="1"/>
    </row>
    <row r="12" spans="1:17" ht="18" customHeight="1" x14ac:dyDescent="0.25">
      <c r="A12" s="34"/>
      <c r="B12" s="35">
        <f t="shared" ca="1" si="0"/>
        <v>4.7444444444444445</v>
      </c>
      <c r="C12" s="38">
        <f t="shared" si="6"/>
        <v>46212</v>
      </c>
      <c r="D12" s="35">
        <f>$A$11/360*DAYS360(C11,C12)*(100-SUM($E$2:E11))</f>
        <v>0.35000000000000003</v>
      </c>
      <c r="E12" s="36">
        <f t="shared" si="8"/>
        <v>10</v>
      </c>
      <c r="F12" s="37">
        <f t="shared" si="1"/>
        <v>10.35</v>
      </c>
      <c r="G12" s="37">
        <f t="shared" ca="1" si="2"/>
        <v>4.3101420332141007</v>
      </c>
      <c r="H12" s="115">
        <f t="shared" ca="1" si="3"/>
        <v>0.10506111436626778</v>
      </c>
      <c r="I12" s="37">
        <f t="shared" ca="1" si="4"/>
        <v>0.49845662038218158</v>
      </c>
      <c r="J12" s="37">
        <f t="shared" ca="1" si="7"/>
        <v>117.46946235929774</v>
      </c>
      <c r="K12" s="37">
        <f t="shared" ca="1" si="5"/>
        <v>0.46434988179669029</v>
      </c>
      <c r="L12" s="37"/>
      <c r="M12" s="10"/>
      <c r="N12" s="149"/>
      <c r="O12" s="1"/>
      <c r="P12" s="1"/>
      <c r="Q12" s="1"/>
    </row>
    <row r="13" spans="1:17" ht="18" customHeight="1" x14ac:dyDescent="0.25">
      <c r="A13" s="34"/>
      <c r="B13" s="35">
        <f t="shared" ca="1" si="0"/>
        <v>5.2444444444444445</v>
      </c>
      <c r="C13" s="38">
        <f t="shared" si="6"/>
        <v>46396</v>
      </c>
      <c r="D13" s="35">
        <f>$A$11/360*DAYS360(C12,C13)*(100-SUM($E$2:E12))</f>
        <v>0.3</v>
      </c>
      <c r="E13" s="36">
        <f t="shared" si="8"/>
        <v>10</v>
      </c>
      <c r="F13" s="37">
        <f t="shared" si="1"/>
        <v>10.3</v>
      </c>
      <c r="G13" s="37">
        <f t="shared" ca="1" si="2"/>
        <v>3.9110586105049991</v>
      </c>
      <c r="H13" s="115">
        <f t="shared" ca="1" si="3"/>
        <v>9.5333326095760035E-2</v>
      </c>
      <c r="I13" s="37">
        <f t="shared" ca="1" si="4"/>
        <v>0.49997033241331928</v>
      </c>
      <c r="J13" s="37">
        <f t="shared" ca="1" si="7"/>
        <v>128.08185817987632</v>
      </c>
      <c r="K13" s="37">
        <f t="shared" ca="1" si="5"/>
        <v>0.51080640924612564</v>
      </c>
      <c r="L13" s="37"/>
      <c r="M13" s="10"/>
      <c r="N13" s="149"/>
      <c r="O13" s="1"/>
      <c r="P13" s="1"/>
      <c r="Q13" s="1"/>
    </row>
    <row r="14" spans="1:17" ht="18" customHeight="1" x14ac:dyDescent="0.25">
      <c r="A14" s="34"/>
      <c r="B14" s="35">
        <f t="shared" ca="1" si="0"/>
        <v>5.7444444444444445</v>
      </c>
      <c r="C14" s="38">
        <f t="shared" si="6"/>
        <v>46577</v>
      </c>
      <c r="D14" s="35">
        <f>$A$11/360*DAYS360(C13,C14)*(100-SUM($E$2:E13))</f>
        <v>0.25</v>
      </c>
      <c r="E14" s="36">
        <f t="shared" si="8"/>
        <v>10</v>
      </c>
      <c r="F14" s="37">
        <f t="shared" si="1"/>
        <v>10.25</v>
      </c>
      <c r="G14" s="37">
        <f t="shared" ca="1" si="2"/>
        <v>3.5488433743751799</v>
      </c>
      <c r="H14" s="115">
        <f t="shared" ca="1" si="3"/>
        <v>8.6504211868203604E-2</v>
      </c>
      <c r="I14" s="37">
        <f t="shared" ca="1" si="4"/>
        <v>0.49691863928734736</v>
      </c>
      <c r="J14" s="37">
        <f ca="1">G14*B14*(1+B14)</f>
        <v>137.49314554358577</v>
      </c>
      <c r="K14" s="37">
        <f t="shared" ca="1" si="5"/>
        <v>0.55679012345679013</v>
      </c>
      <c r="L14" s="37"/>
      <c r="M14" s="10"/>
      <c r="N14" s="149"/>
      <c r="O14" s="1"/>
      <c r="P14" s="1"/>
      <c r="Q14" s="1"/>
    </row>
    <row r="15" spans="1:17" ht="18" customHeight="1" x14ac:dyDescent="0.25">
      <c r="A15" s="34"/>
      <c r="B15" s="35">
        <f t="shared" ca="1" si="0"/>
        <v>6.2444444444444445</v>
      </c>
      <c r="C15" s="38">
        <f t="shared" si="6"/>
        <v>46761</v>
      </c>
      <c r="D15" s="35">
        <f>$A$11/360*DAYS360(C14,C15)*(100-SUM($E$2:E14))</f>
        <v>0.2</v>
      </c>
      <c r="E15" s="36">
        <f t="shared" si="8"/>
        <v>10</v>
      </c>
      <c r="F15" s="37">
        <f t="shared" si="1"/>
        <v>10.199999999999999</v>
      </c>
      <c r="G15" s="37">
        <f t="shared" ca="1" si="2"/>
        <v>3.2200973865165174</v>
      </c>
      <c r="H15" s="115">
        <f t="shared" ca="1" si="3"/>
        <v>7.8490921456491794E-2</v>
      </c>
      <c r="I15" s="37">
        <f t="shared" ca="1" si="4"/>
        <v>0.4901321984283154</v>
      </c>
      <c r="J15" s="37">
        <f t="shared" ca="1" si="7"/>
        <v>145.66925490826276</v>
      </c>
      <c r="K15" s="37">
        <f t="shared" ca="1" si="5"/>
        <v>0.60230102442868394</v>
      </c>
      <c r="L15" s="37"/>
      <c r="M15" s="10"/>
      <c r="N15" s="149"/>
      <c r="O15" s="1"/>
      <c r="P15" s="1"/>
      <c r="Q15" s="1"/>
    </row>
    <row r="16" spans="1:17" ht="18" customHeight="1" x14ac:dyDescent="0.25">
      <c r="A16" s="34"/>
      <c r="B16" s="35">
        <f t="shared" ca="1" si="0"/>
        <v>6.7444444444444445</v>
      </c>
      <c r="C16" s="38">
        <f t="shared" si="6"/>
        <v>46943</v>
      </c>
      <c r="D16" s="35">
        <f>$A$11/360*DAYS360(C15,C16)*(100-SUM($E$2:E15))</f>
        <v>0.15</v>
      </c>
      <c r="E16" s="36">
        <f t="shared" si="8"/>
        <v>10</v>
      </c>
      <c r="F16" s="37">
        <f t="shared" si="1"/>
        <v>10.15</v>
      </c>
      <c r="G16" s="37">
        <f t="shared" ca="1" si="2"/>
        <v>2.9217344709797657</v>
      </c>
      <c r="H16" s="115">
        <f t="shared" ca="1" si="3"/>
        <v>7.1218228317772969E-2</v>
      </c>
      <c r="I16" s="37">
        <f t="shared" ca="1" si="4"/>
        <v>0.48032738432097993</v>
      </c>
      <c r="J16" s="37">
        <f t="shared" ca="1" si="7"/>
        <v>152.60796274662326</v>
      </c>
      <c r="K16" s="37">
        <f t="shared" ca="1" si="5"/>
        <v>0.64733911216180717</v>
      </c>
      <c r="L16" s="37"/>
      <c r="M16" s="10"/>
      <c r="N16" s="149"/>
      <c r="O16" s="1"/>
      <c r="P16" s="1"/>
      <c r="Q16" s="1"/>
    </row>
    <row r="17" spans="1:17" ht="18" customHeight="1" x14ac:dyDescent="0.25">
      <c r="A17" s="34"/>
      <c r="B17" s="35">
        <f t="shared" ca="1" si="0"/>
        <v>7.2444444444444445</v>
      </c>
      <c r="C17" s="38">
        <f t="shared" si="6"/>
        <v>47127</v>
      </c>
      <c r="D17" s="35">
        <f>$A$11/360*DAYS360(C16,C17)*(100-SUM($E$2:E16))</f>
        <v>0.1</v>
      </c>
      <c r="E17" s="36">
        <f t="shared" si="8"/>
        <v>10</v>
      </c>
      <c r="F17" s="37">
        <f t="shared" si="1"/>
        <v>10.1</v>
      </c>
      <c r="G17" s="37">
        <f t="shared" ca="1" si="2"/>
        <v>2.6509524843940362</v>
      </c>
      <c r="H17" s="115">
        <f t="shared" ca="1" si="3"/>
        <v>6.4617829295703116E-2</v>
      </c>
      <c r="I17" s="37">
        <f t="shared" ca="1" si="4"/>
        <v>0.46812027445331589</v>
      </c>
      <c r="J17" s="37">
        <f t="shared" ca="1" si="7"/>
        <v>158.33190082840548</v>
      </c>
      <c r="K17" s="37">
        <f t="shared" ca="1" si="5"/>
        <v>0.69190438665615972</v>
      </c>
      <c r="L17" s="37"/>
      <c r="M17" s="10"/>
      <c r="N17" s="149"/>
      <c r="O17" s="1"/>
      <c r="P17" s="1"/>
      <c r="Q17" s="1"/>
    </row>
    <row r="18" spans="1:17" ht="18" customHeight="1" thickBot="1" x14ac:dyDescent="0.3">
      <c r="A18" s="34"/>
      <c r="B18" s="42">
        <f t="shared" ca="1" si="0"/>
        <v>7.7444444444444445</v>
      </c>
      <c r="C18" s="41">
        <f t="shared" si="6"/>
        <v>47308</v>
      </c>
      <c r="D18" s="42">
        <f>$A$11/360*DAYS360(C17,C18)*(100-SUM($E$2:E17))</f>
        <v>0.05</v>
      </c>
      <c r="E18" s="43">
        <f t="shared" si="8"/>
        <v>10</v>
      </c>
      <c r="F18" s="44">
        <f t="shared" si="1"/>
        <v>10.050000000000001</v>
      </c>
      <c r="G18" s="44">
        <f t="shared" ca="1" si="2"/>
        <v>2.4052072210359032</v>
      </c>
      <c r="H18" s="90">
        <f t="shared" ca="1" si="3"/>
        <v>5.8627708548015245E-2</v>
      </c>
      <c r="I18" s="44">
        <f t="shared" ca="1" si="4"/>
        <v>0.45403903175518473</v>
      </c>
      <c r="J18" s="44">
        <f t="shared" ca="1" si="7"/>
        <v>162.88271158269299</v>
      </c>
      <c r="K18" s="44">
        <f t="shared" ca="1" si="5"/>
        <v>0.73599684791174158</v>
      </c>
      <c r="L18" s="37"/>
      <c r="M18" s="10"/>
      <c r="N18" s="149"/>
      <c r="O18" s="1"/>
      <c r="P18" s="1"/>
      <c r="Q18" s="1"/>
    </row>
    <row r="19" spans="1:17" ht="18" customHeight="1" thickTop="1" thickBot="1" x14ac:dyDescent="0.3">
      <c r="A19" s="40"/>
      <c r="B19" s="1"/>
      <c r="C19" s="1"/>
      <c r="D19" s="1"/>
      <c r="E19" s="1"/>
      <c r="F19" s="180">
        <f>SUM(F3:F18)</f>
        <v>105.75</v>
      </c>
      <c r="G19" s="180">
        <f ca="1">SUM(G3:G18)</f>
        <v>41.025093434550207</v>
      </c>
      <c r="H19" s="181">
        <f ca="1">SUM(H3:H18)</f>
        <v>1</v>
      </c>
      <c r="I19" s="182">
        <f ca="1">SUM(I3:I18)</f>
        <v>4.8897199078950182</v>
      </c>
      <c r="J19" s="183">
        <f ca="1">SUM(J3:J18)/((1+O4)^2)</f>
        <v>891.51004551723918</v>
      </c>
      <c r="K19" s="193">
        <f ca="1">SUM(K3:K18)</f>
        <v>5.3614657210401893</v>
      </c>
      <c r="L19" s="191"/>
      <c r="M19" s="10"/>
      <c r="N19" s="149"/>
      <c r="O19" s="1"/>
      <c r="P19" s="1"/>
      <c r="Q19" s="1"/>
    </row>
    <row r="20" spans="1:17" ht="18" customHeight="1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0"/>
      <c r="N20" s="149"/>
      <c r="O20" s="1"/>
      <c r="P20" s="1"/>
      <c r="Q20" s="1"/>
    </row>
    <row r="21" spans="1:17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0"/>
      <c r="N21" s="149"/>
      <c r="O21" s="1"/>
      <c r="P21" s="1"/>
      <c r="Q21" s="1"/>
    </row>
    <row r="22" spans="1:17" ht="15.75" x14ac:dyDescent="0.25">
      <c r="A22" s="1"/>
      <c r="F22">
        <f ca="1">XNPV(O4,F2:F18,C2:C18)</f>
        <v>40.999999388378185</v>
      </c>
      <c r="M22" s="10"/>
      <c r="N22" s="149"/>
      <c r="O22" s="1"/>
      <c r="P22" s="1"/>
      <c r="Q22" s="1"/>
    </row>
  </sheetData>
  <pageMargins left="0.7" right="0.7" top="0.75" bottom="0.75" header="0.3" footer="0.3"/>
  <pageSetup paperSize="9" orientation="portrait" r:id="rId1"/>
  <ignoredErrors>
    <ignoredError sqref="J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F1" workbookViewId="0">
      <selection activeCell="Q4" sqref="Q4"/>
    </sheetView>
  </sheetViews>
  <sheetFormatPr baseColWidth="10" defaultRowHeight="15" x14ac:dyDescent="0.25"/>
  <cols>
    <col min="1" max="1" width="20" customWidth="1"/>
    <col min="2" max="2" width="16" customWidth="1"/>
    <col min="3" max="5" width="15.7109375" style="2" customWidth="1"/>
    <col min="6" max="6" width="19" customWidth="1"/>
    <col min="7" max="7" width="15.7109375" customWidth="1"/>
    <col min="8" max="8" width="20.140625" customWidth="1"/>
    <col min="9" max="9" width="12.85546875" customWidth="1"/>
    <col min="10" max="11" width="14.28515625" customWidth="1"/>
    <col min="12" max="12" width="7.42578125" customWidth="1"/>
    <col min="13" max="13" width="19.28515625" customWidth="1"/>
    <col min="14" max="14" width="12.28515625" customWidth="1"/>
    <col min="15" max="15" width="10" customWidth="1"/>
    <col min="16" max="16" width="18.7109375" customWidth="1"/>
    <col min="17" max="17" width="12" customWidth="1"/>
  </cols>
  <sheetData>
    <row r="1" spans="1:17" ht="30" customHeight="1" thickBot="1" x14ac:dyDescent="0.35">
      <c r="A1" s="31" t="s">
        <v>7</v>
      </c>
      <c r="B1" s="92" t="s">
        <v>17</v>
      </c>
      <c r="C1" s="97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16</v>
      </c>
      <c r="I1" s="93" t="s">
        <v>15</v>
      </c>
      <c r="J1" s="93" t="s">
        <v>34</v>
      </c>
      <c r="K1" s="93" t="s">
        <v>37</v>
      </c>
      <c r="L1" s="156"/>
      <c r="M1" s="1"/>
      <c r="N1" s="161"/>
      <c r="O1" s="162"/>
      <c r="P1" s="162"/>
      <c r="Q1" s="1"/>
    </row>
    <row r="2" spans="1:17" ht="18.75" customHeight="1" thickBot="1" x14ac:dyDescent="0.3">
      <c r="A2" s="4" t="s">
        <v>5</v>
      </c>
      <c r="B2" s="81"/>
      <c r="C2" s="32">
        <f ca="1">WORKDAY(TODAY(),2)</f>
        <v>44480</v>
      </c>
      <c r="D2" s="82"/>
      <c r="E2" s="82"/>
      <c r="F2" s="177">
        <v>0</v>
      </c>
      <c r="G2" s="145">
        <v>0</v>
      </c>
      <c r="H2" s="89"/>
      <c r="I2" s="47"/>
      <c r="J2" s="161"/>
      <c r="K2" s="161"/>
      <c r="L2" s="161"/>
      <c r="M2" s="161"/>
      <c r="N2" s="161"/>
      <c r="O2" s="162"/>
      <c r="P2" s="162"/>
      <c r="Q2" s="1"/>
    </row>
    <row r="3" spans="1:17" ht="16.5" customHeight="1" thickBot="1" x14ac:dyDescent="0.35">
      <c r="A3" s="52"/>
      <c r="B3" s="83">
        <f t="shared" ref="B3:B20" ca="1" si="0">DAYS360($C$2,C3)/360</f>
        <v>0.24444444444444444</v>
      </c>
      <c r="C3" s="104">
        <v>44570</v>
      </c>
      <c r="D3" s="35">
        <v>0.25</v>
      </c>
      <c r="E3" s="36"/>
      <c r="F3" s="37">
        <f t="shared" ref="F3:F20" si="1">+D3+E3</f>
        <v>0.25</v>
      </c>
      <c r="G3" s="37">
        <f t="shared" ref="G3:G20" ca="1" si="2">F3/((1+$O$4)^(DAYS360($C$2,C3)/360))</f>
        <v>0.23923151099654033</v>
      </c>
      <c r="H3" s="141">
        <f t="shared" ref="H3:H20" ca="1" si="3">G3/$G$21</f>
        <v>6.1068742990344335E-3</v>
      </c>
      <c r="I3" s="98">
        <f t="shared" ref="I3:I20" ca="1" si="4">+H3*B3</f>
        <v>1.4927914953195281E-3</v>
      </c>
      <c r="J3" s="166">
        <f t="shared" ref="J3:J20" ca="1" si="5">G3*B3*(1+B3)</f>
        <v>7.2773634950058688E-2</v>
      </c>
      <c r="K3" s="37">
        <f t="shared" ref="K3:K20" ca="1" si="6">(B3*F3)/$F$21</f>
        <v>5.823988479091881E-4</v>
      </c>
      <c r="L3" s="166"/>
      <c r="M3" s="96" t="s">
        <v>29</v>
      </c>
      <c r="N3" s="142">
        <f ca="1">'Curva de rendimientos'!B3</f>
        <v>39.150000828851525</v>
      </c>
      <c r="O3" s="162"/>
      <c r="P3" s="96" t="s">
        <v>30</v>
      </c>
      <c r="Q3" s="159">
        <v>44386</v>
      </c>
    </row>
    <row r="4" spans="1:17" ht="16.5" customHeight="1" thickBot="1" x14ac:dyDescent="0.3">
      <c r="A4" s="52"/>
      <c r="B4" s="83">
        <f t="shared" ca="1" si="0"/>
        <v>0.74444444444444446</v>
      </c>
      <c r="C4" s="104">
        <f t="shared" ref="C4:C20" si="7">EDATE(C3,6)</f>
        <v>44751</v>
      </c>
      <c r="D4" s="35">
        <f>$A$6/2*(100-SUM(E$3:E3))</f>
        <v>0.25</v>
      </c>
      <c r="E4" s="36"/>
      <c r="F4" s="37">
        <f t="shared" si="1"/>
        <v>0.25</v>
      </c>
      <c r="G4" s="37">
        <f t="shared" ca="1" si="2"/>
        <v>0.21862809357784699</v>
      </c>
      <c r="H4" s="141">
        <f t="shared" ca="1" si="3"/>
        <v>5.5809298706337935E-3</v>
      </c>
      <c r="I4" s="98">
        <f t="shared" ca="1" si="4"/>
        <v>4.1546922370273793E-3</v>
      </c>
      <c r="J4" s="166">
        <f t="shared" ca="1" si="5"/>
        <v>0.28391961930189785</v>
      </c>
      <c r="K4" s="37">
        <f t="shared" ca="1" si="6"/>
        <v>1.7736692186325275E-3</v>
      </c>
      <c r="L4" s="166"/>
      <c r="M4" s="96" t="s">
        <v>13</v>
      </c>
      <c r="N4" s="192">
        <f>'Curva de rendimientos'!H3</f>
        <v>0.18847913899370017</v>
      </c>
      <c r="O4" s="202">
        <f>(1+N4/2)^2-1</f>
        <v>0.1973602354526518</v>
      </c>
      <c r="P4" s="96" t="s">
        <v>31</v>
      </c>
      <c r="Q4" s="148">
        <f ca="1">D3/180*DAYS360(Q3,C2)</f>
        <v>0.1277777777777778</v>
      </c>
    </row>
    <row r="5" spans="1:17" ht="16.5" customHeight="1" thickBot="1" x14ac:dyDescent="0.35">
      <c r="A5" s="51"/>
      <c r="B5" s="83">
        <f t="shared" ca="1" si="0"/>
        <v>1.2444444444444445</v>
      </c>
      <c r="C5" s="104">
        <f t="shared" si="7"/>
        <v>44935</v>
      </c>
      <c r="D5" s="35">
        <f>$A$6/2*(100-SUM(E$3:E4))</f>
        <v>0.25</v>
      </c>
      <c r="E5" s="36"/>
      <c r="F5" s="37">
        <f t="shared" si="1"/>
        <v>0.25</v>
      </c>
      <c r="G5" s="37">
        <f t="shared" ca="1" si="2"/>
        <v>0.19979911133937142</v>
      </c>
      <c r="H5" s="141">
        <f t="shared" ca="1" si="3"/>
        <v>5.1002815345089379E-3</v>
      </c>
      <c r="I5" s="98">
        <f t="shared" ca="1" si="4"/>
        <v>6.3470170207222338E-3</v>
      </c>
      <c r="J5" s="166">
        <f t="shared" ca="1" si="5"/>
        <v>0.55805618456073325</v>
      </c>
      <c r="K5" s="37">
        <f t="shared" ca="1" si="6"/>
        <v>2.9649395893558668E-3</v>
      </c>
      <c r="L5" s="166"/>
      <c r="M5" s="96" t="s">
        <v>11</v>
      </c>
      <c r="N5" s="94">
        <f ca="1">I21</f>
        <v>5.1555090565823605</v>
      </c>
      <c r="O5" s="1"/>
      <c r="P5" s="96" t="s">
        <v>33</v>
      </c>
      <c r="Q5" s="147">
        <f ca="1">(100-SUM(E2:E2))+Q4</f>
        <v>100.12777777777778</v>
      </c>
    </row>
    <row r="6" spans="1:17" ht="16.5" customHeight="1" thickBot="1" x14ac:dyDescent="0.35">
      <c r="A6" s="51">
        <v>5.0000000000000001E-3</v>
      </c>
      <c r="B6" s="83">
        <f t="shared" ca="1" si="0"/>
        <v>1.7444444444444445</v>
      </c>
      <c r="C6" s="104">
        <f t="shared" si="7"/>
        <v>45116</v>
      </c>
      <c r="D6" s="35">
        <f>$A$6/2*(100-SUM(E$3:E5))</f>
        <v>0.25</v>
      </c>
      <c r="E6" s="36"/>
      <c r="F6" s="37">
        <f t="shared" si="1"/>
        <v>0.25</v>
      </c>
      <c r="G6" s="37">
        <f t="shared" ca="1" si="2"/>
        <v>0.18259174399189607</v>
      </c>
      <c r="H6" s="141">
        <f t="shared" ca="1" si="3"/>
        <v>4.6610282397794604E-3</v>
      </c>
      <c r="I6" s="98">
        <f t="shared" ca="1" si="4"/>
        <v>8.130904818281947E-3</v>
      </c>
      <c r="J6" s="166">
        <f t="shared" ca="1" si="5"/>
        <v>0.87416360990885644</v>
      </c>
      <c r="K6" s="37">
        <f t="shared" ca="1" si="6"/>
        <v>4.1562099600792064E-3</v>
      </c>
      <c r="L6" s="166"/>
      <c r="M6" s="96" t="s">
        <v>12</v>
      </c>
      <c r="N6" s="95">
        <f ca="1">N5/(1+N4/2)</f>
        <v>4.711499383039996</v>
      </c>
      <c r="O6" s="1"/>
      <c r="P6" s="96" t="s">
        <v>32</v>
      </c>
      <c r="Q6" s="160">
        <f ca="1">N3/Q5</f>
        <v>0.39100039667054731</v>
      </c>
    </row>
    <row r="7" spans="1:17" ht="16.5" customHeight="1" thickBot="1" x14ac:dyDescent="0.35">
      <c r="A7" s="21"/>
      <c r="B7" s="83">
        <f t="shared" ca="1" si="0"/>
        <v>2.2444444444444445</v>
      </c>
      <c r="C7" s="127">
        <f t="shared" si="7"/>
        <v>45300</v>
      </c>
      <c r="D7" s="35">
        <f>$A$11/2*(100-SUM(E6))</f>
        <v>0.375</v>
      </c>
      <c r="E7" s="36"/>
      <c r="F7" s="37">
        <f t="shared" si="1"/>
        <v>0.375</v>
      </c>
      <c r="G7" s="37">
        <f t="shared" ca="1" si="2"/>
        <v>0.25029949896052678</v>
      </c>
      <c r="H7" s="141">
        <f t="shared" ca="1" si="3"/>
        <v>6.3894073606605368E-3</v>
      </c>
      <c r="I7" s="98">
        <f t="shared" ca="1" si="4"/>
        <v>1.4340669853926983E-2</v>
      </c>
      <c r="J7" s="166">
        <f t="shared" ca="1" si="5"/>
        <v>1.8226747711960136</v>
      </c>
      <c r="K7" s="37">
        <f t="shared" ca="1" si="6"/>
        <v>8.0212204962038184E-3</v>
      </c>
      <c r="L7" s="166"/>
      <c r="M7" s="96" t="s">
        <v>35</v>
      </c>
      <c r="N7" s="95">
        <f ca="1">J21/N3</f>
        <v>24.557617054050727</v>
      </c>
      <c r="O7" s="1"/>
      <c r="P7" s="1"/>
      <c r="Q7" s="1"/>
    </row>
    <row r="8" spans="1:17" ht="16.5" customHeight="1" thickBot="1" x14ac:dyDescent="0.35">
      <c r="A8" s="21"/>
      <c r="B8" s="83">
        <f t="shared" ca="1" si="0"/>
        <v>2.7444444444444445</v>
      </c>
      <c r="C8" s="127">
        <f t="shared" si="7"/>
        <v>45482</v>
      </c>
      <c r="D8" s="35">
        <f>$A$11/2*(100-SUM(E7))</f>
        <v>0.375</v>
      </c>
      <c r="E8" s="37">
        <v>4</v>
      </c>
      <c r="F8" s="37">
        <f t="shared" si="1"/>
        <v>4.375</v>
      </c>
      <c r="G8" s="37">
        <f t="shared" ca="1" si="2"/>
        <v>2.6686668099097215</v>
      </c>
      <c r="H8" s="141">
        <f t="shared" ca="1" si="3"/>
        <v>6.8123186139804018E-2</v>
      </c>
      <c r="I8" s="98">
        <f t="shared" ca="1" si="4"/>
        <v>0.18696029973923992</v>
      </c>
      <c r="J8" s="166">
        <f t="shared" ca="1" si="5"/>
        <v>27.424340319762386</v>
      </c>
      <c r="K8" s="37">
        <f t="shared" ca="1" si="6"/>
        <v>0.11442813727670298</v>
      </c>
      <c r="L8" s="166"/>
      <c r="M8" s="96" t="s">
        <v>38</v>
      </c>
      <c r="N8" s="143">
        <f ca="1">K21</f>
        <v>5.7861150820123468</v>
      </c>
      <c r="O8" s="1"/>
      <c r="P8" s="1"/>
      <c r="Q8" s="1"/>
    </row>
    <row r="9" spans="1:17" ht="16.5" customHeight="1" x14ac:dyDescent="0.3">
      <c r="A9" s="21"/>
      <c r="B9" s="83">
        <f t="shared" ca="1" si="0"/>
        <v>3.2444444444444445</v>
      </c>
      <c r="C9" s="127">
        <f t="shared" si="7"/>
        <v>45666</v>
      </c>
      <c r="D9" s="35">
        <f>$A$11/2*(100-SUM($E$2:E8))</f>
        <v>0.36</v>
      </c>
      <c r="E9" s="37">
        <v>8</v>
      </c>
      <c r="F9" s="37">
        <f t="shared" si="1"/>
        <v>8.36</v>
      </c>
      <c r="G9" s="37">
        <f t="shared" ca="1" si="2"/>
        <v>4.6602601274660396</v>
      </c>
      <c r="H9" s="141">
        <f t="shared" ca="1" si="3"/>
        <v>0.11896268464252964</v>
      </c>
      <c r="I9" s="98">
        <f t="shared" ca="1" si="4"/>
        <v>0.38596782128465174</v>
      </c>
      <c r="J9" s="166">
        <f t="shared" ca="1" si="5"/>
        <v>64.17580934050271</v>
      </c>
      <c r="K9" s="37">
        <f t="shared" ca="1" si="6"/>
        <v>0.25849190465601402</v>
      </c>
      <c r="L9" s="166"/>
      <c r="M9" s="178"/>
      <c r="N9" s="179"/>
      <c r="O9" s="184"/>
      <c r="P9" s="1"/>
      <c r="Q9" s="1"/>
    </row>
    <row r="10" spans="1:17" ht="16.5" customHeight="1" x14ac:dyDescent="0.25">
      <c r="A10" s="49"/>
      <c r="B10" s="83">
        <f t="shared" ca="1" si="0"/>
        <v>3.7444444444444445</v>
      </c>
      <c r="C10" s="127">
        <f t="shared" si="7"/>
        <v>45847</v>
      </c>
      <c r="D10" s="35">
        <f>$A$11/2*(100-SUM($E$2:E9))</f>
        <v>0.32999999999999996</v>
      </c>
      <c r="E10" s="37">
        <v>8</v>
      </c>
      <c r="F10" s="37">
        <f t="shared" si="1"/>
        <v>8.33</v>
      </c>
      <c r="G10" s="37">
        <f t="shared" ca="1" si="2"/>
        <v>4.2436198026462995</v>
      </c>
      <c r="H10" s="141">
        <f t="shared" ca="1" si="3"/>
        <v>0.10832708701166477</v>
      </c>
      <c r="I10" s="98">
        <f t="shared" ca="1" si="4"/>
        <v>0.40562475914367807</v>
      </c>
      <c r="J10" s="166">
        <f t="shared" ca="1" si="5"/>
        <v>75.389215553209851</v>
      </c>
      <c r="K10" s="37">
        <f t="shared" ca="1" si="6"/>
        <v>0.2972574308798458</v>
      </c>
      <c r="L10" s="166"/>
      <c r="M10" s="10"/>
      <c r="N10" s="149"/>
      <c r="O10" s="184"/>
      <c r="P10" s="1"/>
      <c r="Q10" s="1"/>
    </row>
    <row r="11" spans="1:17" ht="16.5" customHeight="1" x14ac:dyDescent="0.25">
      <c r="A11" s="21">
        <v>7.4999999999999997E-3</v>
      </c>
      <c r="B11" s="83">
        <f t="shared" ca="1" si="0"/>
        <v>4.2444444444444445</v>
      </c>
      <c r="C11" s="127">
        <f t="shared" si="7"/>
        <v>46031</v>
      </c>
      <c r="D11" s="35">
        <f>$A$11/2*(100-SUM($E$2:E10))</f>
        <v>0.3</v>
      </c>
      <c r="E11" s="37">
        <v>8</v>
      </c>
      <c r="F11" s="37">
        <f t="shared" si="1"/>
        <v>8.3000000000000007</v>
      </c>
      <c r="G11" s="37">
        <f t="shared" ca="1" si="2"/>
        <v>3.8641781708216016</v>
      </c>
      <c r="H11" s="141">
        <f t="shared" ca="1" si="3"/>
        <v>9.8641062207819249E-2</v>
      </c>
      <c r="I11" s="98">
        <f t="shared" ca="1" si="4"/>
        <v>0.41867650848207727</v>
      </c>
      <c r="J11" s="166">
        <f t="shared" ca="1" si="5"/>
        <v>86.015651964421991</v>
      </c>
      <c r="K11" s="37">
        <f t="shared" ca="1" si="6"/>
        <v>0.33573705221470396</v>
      </c>
      <c r="L11" s="166"/>
      <c r="M11" s="10"/>
      <c r="N11" s="149"/>
      <c r="O11" s="184"/>
      <c r="P11" s="1"/>
      <c r="Q11" s="1"/>
    </row>
    <row r="12" spans="1:17" ht="16.5" customHeight="1" x14ac:dyDescent="0.25">
      <c r="A12" s="49"/>
      <c r="B12" s="83">
        <f t="shared" ca="1" si="0"/>
        <v>4.7444444444444445</v>
      </c>
      <c r="C12" s="127">
        <f t="shared" si="7"/>
        <v>46212</v>
      </c>
      <c r="D12" s="35">
        <f>$A$11/2*(100-SUM($E$2:E11))</f>
        <v>0.27</v>
      </c>
      <c r="E12" s="37">
        <v>8</v>
      </c>
      <c r="F12" s="37">
        <f t="shared" si="1"/>
        <v>8.27</v>
      </c>
      <c r="G12" s="37">
        <f t="shared" ca="1" si="2"/>
        <v>3.5186181976044151</v>
      </c>
      <c r="H12" s="141">
        <f t="shared" ca="1" si="3"/>
        <v>8.9819936134483608E-2</v>
      </c>
      <c r="I12" s="98">
        <f t="shared" ca="1" si="4"/>
        <v>0.42614569699360555</v>
      </c>
      <c r="J12" s="166">
        <f t="shared" ca="1" si="5"/>
        <v>95.897115393204089</v>
      </c>
      <c r="K12" s="37">
        <f t="shared" ca="1" si="6"/>
        <v>0.3739307686605885</v>
      </c>
      <c r="L12" s="166"/>
      <c r="M12" s="10"/>
      <c r="N12" s="149"/>
      <c r="O12" s="184"/>
      <c r="P12" s="1"/>
      <c r="Q12" s="1"/>
    </row>
    <row r="13" spans="1:17" ht="16.5" customHeight="1" x14ac:dyDescent="0.25">
      <c r="A13" s="50"/>
      <c r="B13" s="83">
        <f t="shared" ca="1" si="0"/>
        <v>5.2444444444444445</v>
      </c>
      <c r="C13" s="127">
        <f t="shared" si="7"/>
        <v>46396</v>
      </c>
      <c r="D13" s="35">
        <f>$A$11/2*(100-SUM($E$2:E12))</f>
        <v>0.24</v>
      </c>
      <c r="E13" s="37">
        <v>8</v>
      </c>
      <c r="F13" s="37">
        <f t="shared" si="1"/>
        <v>8.24</v>
      </c>
      <c r="G13" s="37">
        <f t="shared" ca="1" si="2"/>
        <v>3.2039182855183235</v>
      </c>
      <c r="H13" s="141">
        <f t="shared" ca="1" si="3"/>
        <v>8.1786576327402244E-2</v>
      </c>
      <c r="I13" s="98">
        <f t="shared" ca="1" si="4"/>
        <v>0.42892515585037622</v>
      </c>
      <c r="J13" s="166">
        <f t="shared" ca="1" si="5"/>
        <v>104.92397285058426</v>
      </c>
      <c r="K13" s="37">
        <f t="shared" ca="1" si="6"/>
        <v>0.41183858021749953</v>
      </c>
      <c r="L13" s="166"/>
      <c r="M13" s="10"/>
      <c r="N13" s="149"/>
      <c r="O13" s="184"/>
      <c r="P13" s="1"/>
      <c r="Q13" s="1"/>
    </row>
    <row r="14" spans="1:17" ht="16.5" customHeight="1" x14ac:dyDescent="0.25">
      <c r="A14" s="49"/>
      <c r="B14" s="83">
        <f t="shared" ca="1" si="0"/>
        <v>5.7444444444444445</v>
      </c>
      <c r="C14" s="127">
        <f t="shared" si="7"/>
        <v>46577</v>
      </c>
      <c r="D14" s="35">
        <f>$A$11/2*(100-SUM($E$2:E13))</f>
        <v>0.21</v>
      </c>
      <c r="E14" s="37">
        <v>8</v>
      </c>
      <c r="F14" s="37">
        <f t="shared" si="1"/>
        <v>8.2100000000000009</v>
      </c>
      <c r="G14" s="37">
        <f t="shared" ca="1" si="2"/>
        <v>2.9173259891768195</v>
      </c>
      <c r="H14" s="141">
        <f t="shared" ca="1" si="3"/>
        <v>7.447072098067703E-2</v>
      </c>
      <c r="I14" s="98">
        <f t="shared" ca="1" si="4"/>
        <v>0.42779291941122249</v>
      </c>
      <c r="J14" s="166">
        <f t="shared" ca="1" si="5"/>
        <v>113.02621291326918</v>
      </c>
      <c r="K14" s="37">
        <f t="shared" ca="1" si="6"/>
        <v>0.44946048688543688</v>
      </c>
      <c r="L14" s="166"/>
      <c r="M14" s="10"/>
      <c r="N14" s="149"/>
      <c r="O14" s="184"/>
      <c r="P14" s="1"/>
      <c r="Q14" s="1"/>
    </row>
    <row r="15" spans="1:17" ht="16.5" customHeight="1" x14ac:dyDescent="0.25">
      <c r="A15" s="46"/>
      <c r="B15" s="83">
        <f t="shared" ca="1" si="0"/>
        <v>6.2444444444444445</v>
      </c>
      <c r="C15" s="128">
        <f t="shared" si="7"/>
        <v>46761</v>
      </c>
      <c r="D15" s="35">
        <f>$A$18/2*(100-SUM($E$2:E14))</f>
        <v>0.42000000000000004</v>
      </c>
      <c r="E15" s="37">
        <v>8</v>
      </c>
      <c r="F15" s="37">
        <f t="shared" si="1"/>
        <v>8.42</v>
      </c>
      <c r="G15" s="37">
        <f t="shared" ca="1" si="2"/>
        <v>2.7342705184440184</v>
      </c>
      <c r="H15" s="141">
        <f t="shared" ca="1" si="3"/>
        <v>6.9797855166056313E-2</v>
      </c>
      <c r="I15" s="98">
        <f t="shared" ca="1" si="4"/>
        <v>0.43584882892581833</v>
      </c>
      <c r="J15" s="166">
        <f t="shared" ca="1" si="5"/>
        <v>123.69164696917667</v>
      </c>
      <c r="K15" s="37">
        <f t="shared" ca="1" si="6"/>
        <v>0.50107902622912626</v>
      </c>
      <c r="L15" s="166"/>
      <c r="M15" s="10"/>
      <c r="N15" s="149"/>
      <c r="O15" s="184"/>
      <c r="P15" s="1"/>
      <c r="Q15" s="1"/>
    </row>
    <row r="16" spans="1:17" ht="16.5" customHeight="1" x14ac:dyDescent="0.25">
      <c r="A16" s="46"/>
      <c r="B16" s="83">
        <f t="shared" ca="1" si="0"/>
        <v>6.7444444444444445</v>
      </c>
      <c r="C16" s="128">
        <f t="shared" si="7"/>
        <v>46943</v>
      </c>
      <c r="D16" s="35">
        <f>$A$18/2*(100-SUM($E$2:E15))</f>
        <v>0.35000000000000003</v>
      </c>
      <c r="E16" s="37">
        <v>8</v>
      </c>
      <c r="F16" s="37">
        <f t="shared" si="1"/>
        <v>8.35</v>
      </c>
      <c r="G16" s="37">
        <f t="shared" ca="1" si="2"/>
        <v>2.4780122460505827</v>
      </c>
      <c r="H16" s="141">
        <f t="shared" ca="1" si="3"/>
        <v>6.3256337909088162E-2</v>
      </c>
      <c r="I16" s="98">
        <f t="shared" ca="1" si="4"/>
        <v>0.42662885678685014</v>
      </c>
      <c r="J16" s="166">
        <f t="shared" ca="1" si="5"/>
        <v>129.43147445022646</v>
      </c>
      <c r="K16" s="37">
        <f t="shared" ca="1" si="6"/>
        <v>0.53670171648824072</v>
      </c>
      <c r="L16" s="166"/>
      <c r="M16" s="10"/>
      <c r="N16" s="149"/>
      <c r="O16" s="184"/>
      <c r="P16" s="1"/>
      <c r="Q16" s="1"/>
    </row>
    <row r="17" spans="1:17" ht="16.5" customHeight="1" x14ac:dyDescent="0.25">
      <c r="A17" s="46"/>
      <c r="B17" s="83">
        <f t="shared" ca="1" si="0"/>
        <v>7.2444444444444445</v>
      </c>
      <c r="C17" s="128">
        <f t="shared" si="7"/>
        <v>47127</v>
      </c>
      <c r="D17" s="35">
        <f>$A$18/2*(100-SUM($E$2:E16))</f>
        <v>0.28000000000000003</v>
      </c>
      <c r="E17" s="37">
        <v>8</v>
      </c>
      <c r="F17" s="37">
        <f t="shared" si="1"/>
        <v>8.2799999999999994</v>
      </c>
      <c r="G17" s="37">
        <f t="shared" ca="1" si="2"/>
        <v>2.2456128979363723</v>
      </c>
      <c r="H17" s="141">
        <f t="shared" ca="1" si="3"/>
        <v>5.7323868560886143E-2</v>
      </c>
      <c r="I17" s="98">
        <f t="shared" ca="1" si="4"/>
        <v>0.41527958112997515</v>
      </c>
      <c r="J17" s="166">
        <f t="shared" ca="1" si="5"/>
        <v>134.12241854509256</v>
      </c>
      <c r="K17" s="37">
        <f t="shared" ca="1" si="6"/>
        <v>0.57165729533975018</v>
      </c>
      <c r="L17" s="166"/>
      <c r="M17" s="10"/>
      <c r="N17" s="149"/>
      <c r="O17" s="184"/>
      <c r="P17" s="1"/>
      <c r="Q17" s="1"/>
    </row>
    <row r="18" spans="1:17" ht="16.5" customHeight="1" x14ac:dyDescent="0.25">
      <c r="A18" s="48">
        <v>1.7500000000000002E-2</v>
      </c>
      <c r="B18" s="83">
        <f t="shared" ca="1" si="0"/>
        <v>7.7444444444444445</v>
      </c>
      <c r="C18" s="128">
        <f t="shared" si="7"/>
        <v>47308</v>
      </c>
      <c r="D18" s="35">
        <f>$A$18/2*(100-SUM($E$2:E17))</f>
        <v>0.21000000000000002</v>
      </c>
      <c r="E18" s="37">
        <v>8</v>
      </c>
      <c r="F18" s="37">
        <f t="shared" si="1"/>
        <v>8.2100000000000009</v>
      </c>
      <c r="G18" s="37">
        <f t="shared" ca="1" si="2"/>
        <v>2.0348635800630821</v>
      </c>
      <c r="H18" s="141">
        <f t="shared" ca="1" si="3"/>
        <v>5.1944060576987042E-2</v>
      </c>
      <c r="I18" s="98">
        <f t="shared" ca="1" si="4"/>
        <v>0.402277891357333</v>
      </c>
      <c r="J18" s="166">
        <f t="shared" ca="1" si="5"/>
        <v>137.80272016595345</v>
      </c>
      <c r="K18" s="37">
        <f t="shared" ca="1" si="6"/>
        <v>0.60594576278365475</v>
      </c>
      <c r="L18" s="166"/>
      <c r="M18" s="10"/>
      <c r="N18" s="149"/>
      <c r="O18" s="184"/>
      <c r="P18" s="1"/>
      <c r="Q18" s="1"/>
    </row>
    <row r="19" spans="1:17" ht="16.5" customHeight="1" x14ac:dyDescent="0.25">
      <c r="A19" s="46"/>
      <c r="B19" s="83">
        <f t="shared" ca="1" si="0"/>
        <v>8.2444444444444436</v>
      </c>
      <c r="C19" s="128">
        <f t="shared" si="7"/>
        <v>47492</v>
      </c>
      <c r="D19" s="35">
        <f>$A$18/2*(100-SUM($E$2:E18))</f>
        <v>0.14000000000000001</v>
      </c>
      <c r="E19" s="37">
        <v>8</v>
      </c>
      <c r="F19" s="37">
        <f t="shared" si="1"/>
        <v>8.14</v>
      </c>
      <c r="G19" s="37">
        <f t="shared" ca="1" si="2"/>
        <v>1.8437589059362232</v>
      </c>
      <c r="H19" s="141">
        <f t="shared" ca="1" si="3"/>
        <v>4.7065722359796482E-2</v>
      </c>
      <c r="I19" s="98">
        <f t="shared" ca="1" si="4"/>
        <v>0.38803073323298876</v>
      </c>
      <c r="J19" s="166">
        <f t="shared" ca="1" si="5"/>
        <v>140.52265407731994</v>
      </c>
      <c r="K19" s="37">
        <f t="shared" ca="1" si="6"/>
        <v>0.63956711881995398</v>
      </c>
      <c r="L19" s="166"/>
      <c r="M19" s="10"/>
      <c r="N19" s="149"/>
      <c r="O19" s="184"/>
      <c r="P19" s="1"/>
      <c r="Q19" s="1"/>
    </row>
    <row r="20" spans="1:17" ht="16.5" customHeight="1" thickBot="1" x14ac:dyDescent="0.3">
      <c r="A20" s="45"/>
      <c r="B20" s="91">
        <f t="shared" ca="1" si="0"/>
        <v>8.7444444444444436</v>
      </c>
      <c r="C20" s="129">
        <f t="shared" si="7"/>
        <v>47673</v>
      </c>
      <c r="D20" s="42">
        <f>$A$18/2*(100-SUM($E$2:E19))</f>
        <v>7.0000000000000007E-2</v>
      </c>
      <c r="E20" s="44">
        <v>8</v>
      </c>
      <c r="F20" s="44">
        <f t="shared" si="1"/>
        <v>8.07</v>
      </c>
      <c r="G20" s="44">
        <f t="shared" ca="1" si="2"/>
        <v>1.6704783269807222</v>
      </c>
      <c r="H20" s="140">
        <f t="shared" ca="1" si="3"/>
        <v>4.2642380678188083E-2</v>
      </c>
      <c r="I20" s="99">
        <f t="shared" ca="1" si="4"/>
        <v>0.37288392881926685</v>
      </c>
      <c r="J20" s="167">
        <f t="shared" ca="1" si="5"/>
        <v>142.34104577824286</v>
      </c>
      <c r="K20" s="44">
        <f t="shared" ca="1" si="6"/>
        <v>0.67252136344864832</v>
      </c>
      <c r="L20" s="166"/>
      <c r="M20" s="10"/>
      <c r="N20" s="149"/>
      <c r="O20" s="184"/>
      <c r="P20" s="1"/>
      <c r="Q20" s="1"/>
    </row>
    <row r="21" spans="1:17" ht="16.5" customHeight="1" thickTop="1" thickBot="1" x14ac:dyDescent="0.3">
      <c r="A21" s="84"/>
      <c r="B21" s="84"/>
      <c r="C21" s="85"/>
      <c r="D21" s="85"/>
      <c r="E21" s="85"/>
      <c r="F21" s="119">
        <f>SUM(F3:F20)</f>
        <v>104.93</v>
      </c>
      <c r="G21" s="119">
        <f ca="1">SUM(G3:G20)</f>
        <v>39.174133817420405</v>
      </c>
      <c r="H21" s="88">
        <f ca="1">SUM(H3:H20)</f>
        <v>0.99999999999999978</v>
      </c>
      <c r="I21" s="86">
        <f ca="1">SUM(I3:I20)</f>
        <v>5.1555090565823605</v>
      </c>
      <c r="J21" s="187">
        <f ca="1">SUM(J3:J20)/((1+O4)^2)</f>
        <v>961.43072802070424</v>
      </c>
      <c r="K21" s="187">
        <f ca="1">SUM(K3:K20)</f>
        <v>5.7861150820123468</v>
      </c>
      <c r="L21" s="167"/>
      <c r="M21" s="10"/>
      <c r="N21" s="149"/>
      <c r="O21" s="184"/>
      <c r="P21" s="1"/>
      <c r="Q21" s="1"/>
    </row>
    <row r="22" spans="1:17" ht="22.5" customHeight="1" thickTop="1" x14ac:dyDescent="0.25">
      <c r="A22" s="1"/>
      <c r="B22" s="185"/>
      <c r="C22" s="186"/>
      <c r="D22" s="186"/>
      <c r="E22" s="186"/>
      <c r="F22" s="1"/>
      <c r="G22" s="1"/>
      <c r="H22" s="1"/>
      <c r="I22" s="161"/>
      <c r="J22" s="1"/>
      <c r="K22" s="1"/>
      <c r="L22" s="168"/>
      <c r="M22" s="10"/>
      <c r="N22" s="149"/>
      <c r="O22" s="184"/>
      <c r="P22" s="1"/>
      <c r="Q22" s="1"/>
    </row>
    <row r="23" spans="1:17" ht="21.75" customHeight="1" x14ac:dyDescent="0.25">
      <c r="L23" s="1"/>
      <c r="M23" s="10"/>
      <c r="N23" s="184"/>
      <c r="O23" s="184"/>
      <c r="P23" s="1"/>
      <c r="Q23" s="1"/>
    </row>
    <row r="24" spans="1:17" x14ac:dyDescent="0.25">
      <c r="M24" s="29"/>
    </row>
  </sheetData>
  <pageMargins left="0.7" right="0.7" top="0.75" bottom="0.75" header="0.3" footer="0.3"/>
  <ignoredErrors>
    <ignoredError sqref="J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E1" workbookViewId="0">
      <selection activeCell="Q4" sqref="Q4"/>
    </sheetView>
  </sheetViews>
  <sheetFormatPr baseColWidth="10" defaultRowHeight="15" x14ac:dyDescent="0.25"/>
  <cols>
    <col min="1" max="1" width="17.7109375" customWidth="1"/>
    <col min="2" max="2" width="16.5703125" customWidth="1"/>
    <col min="3" max="3" width="16.5703125" style="2" customWidth="1"/>
    <col min="4" max="4" width="16.5703125" customWidth="1"/>
    <col min="5" max="6" width="16.5703125" style="2" customWidth="1"/>
    <col min="7" max="7" width="16.5703125" customWidth="1"/>
    <col min="8" max="8" width="22.42578125" customWidth="1"/>
    <col min="9" max="9" width="14.28515625" customWidth="1"/>
    <col min="10" max="11" width="15.42578125" customWidth="1"/>
    <col min="12" max="12" width="4.28515625" customWidth="1"/>
    <col min="13" max="13" width="15.85546875" customWidth="1"/>
    <col min="15" max="15" width="5.85546875" customWidth="1"/>
    <col min="16" max="16" width="20" customWidth="1"/>
    <col min="17" max="17" width="13" customWidth="1"/>
  </cols>
  <sheetData>
    <row r="1" spans="1:17" ht="27.75" customHeight="1" thickBot="1" x14ac:dyDescent="0.35">
      <c r="A1" s="3" t="s">
        <v>9</v>
      </c>
      <c r="B1" s="92" t="s">
        <v>17</v>
      </c>
      <c r="C1" s="97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16</v>
      </c>
      <c r="I1" s="93" t="s">
        <v>15</v>
      </c>
      <c r="J1" s="93" t="s">
        <v>34</v>
      </c>
      <c r="K1" s="93" t="s">
        <v>37</v>
      </c>
      <c r="L1" s="156"/>
      <c r="M1" s="1"/>
      <c r="N1" s="1"/>
      <c r="O1" s="1"/>
      <c r="P1" s="1"/>
      <c r="Q1" s="1"/>
    </row>
    <row r="2" spans="1:17" ht="18.75" customHeight="1" thickBot="1" x14ac:dyDescent="0.3">
      <c r="A2" s="4" t="s">
        <v>5</v>
      </c>
      <c r="B2" s="81"/>
      <c r="C2" s="32">
        <f ca="1">WORKDAY(TODAY(),2)</f>
        <v>44480</v>
      </c>
      <c r="D2" s="100"/>
      <c r="E2" s="82"/>
      <c r="F2" s="177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.75" customHeight="1" thickBot="1" x14ac:dyDescent="0.3">
      <c r="A3" s="68"/>
      <c r="B3" s="83">
        <f t="shared" ref="B3:B30" ca="1" si="0">DAYS360($C$2,C3)/360</f>
        <v>0.24444444444444444</v>
      </c>
      <c r="C3" s="101">
        <v>44570</v>
      </c>
      <c r="D3" s="79">
        <v>0.5625</v>
      </c>
      <c r="E3" s="112"/>
      <c r="F3" s="110">
        <f t="shared" ref="F3:F19" si="1">+D3+E3</f>
        <v>0.5625</v>
      </c>
      <c r="G3" s="37">
        <f ca="1">F3/((1+$O$4)^(B3))</f>
        <v>0.54138654433011146</v>
      </c>
      <c r="H3" s="139">
        <f t="shared" ref="H3:H30" ca="1" si="2">G3/$G$31</f>
        <v>1.5455223396024873E-2</v>
      </c>
      <c r="I3" s="116">
        <f t="shared" ref="I3:I30" ca="1" si="3">H3*B3</f>
        <v>3.77794349680608E-3</v>
      </c>
      <c r="J3" s="116">
        <f t="shared" ref="J3:J30" ca="1" si="4">G3*B3*(1+B3)</f>
        <v>0.16468845002832033</v>
      </c>
      <c r="K3" s="37">
        <f t="shared" ref="K3:K30" ca="1" si="5">(B3*F3)/$F$31</f>
        <v>9.3457943925233638E-4</v>
      </c>
      <c r="L3" s="116"/>
      <c r="M3" s="96" t="s">
        <v>29</v>
      </c>
      <c r="N3" s="146">
        <f ca="1">'Curva de rendimientos'!B4</f>
        <v>34.999999994663021</v>
      </c>
      <c r="O3" s="1"/>
      <c r="P3" s="96" t="s">
        <v>30</v>
      </c>
      <c r="Q3" s="159">
        <v>44386</v>
      </c>
    </row>
    <row r="4" spans="1:17" ht="18.75" customHeight="1" thickBot="1" x14ac:dyDescent="0.3">
      <c r="A4" s="69">
        <v>1.125E-2</v>
      </c>
      <c r="B4" s="83">
        <f t="shared" ca="1" si="0"/>
        <v>0.74444444444444446</v>
      </c>
      <c r="C4" s="101">
        <f t="shared" ref="C4:C30" si="6">EDATE(C3,6)</f>
        <v>44751</v>
      </c>
      <c r="D4" s="79">
        <f>$A$4/2*(100-SUM($E$2:E3))</f>
        <v>0.5625</v>
      </c>
      <c r="E4" s="112"/>
      <c r="F4" s="110">
        <f t="shared" si="1"/>
        <v>0.5625</v>
      </c>
      <c r="G4" s="37">
        <f t="shared" ref="G4:G29" ca="1" si="7">F4/((1+$O$4)^(B4))</f>
        <v>0.50063601482928854</v>
      </c>
      <c r="H4" s="139">
        <f t="shared" ca="1" si="2"/>
        <v>1.4291898330898221E-2</v>
      </c>
      <c r="I4" s="116">
        <f t="shared" ca="1" si="3"/>
        <v>1.0639524313002009E-2</v>
      </c>
      <c r="J4" s="116">
        <f t="shared" ca="1" si="4"/>
        <v>0.65014694320855382</v>
      </c>
      <c r="K4" s="37">
        <f t="shared" ca="1" si="5"/>
        <v>2.8462192013593885E-3</v>
      </c>
      <c r="L4" s="116"/>
      <c r="M4" s="96" t="s">
        <v>13</v>
      </c>
      <c r="N4" s="192">
        <f>'Curva de rendimientos'!H4</f>
        <v>0.16279503788683058</v>
      </c>
      <c r="O4" s="202">
        <f>(1+N4/2)^2-1</f>
        <v>0.16942059397697418</v>
      </c>
      <c r="P4" s="96" t="s">
        <v>31</v>
      </c>
      <c r="Q4" s="148">
        <f ca="1">D3/180*DAYS360(Q3,C2)</f>
        <v>0.28750000000000003</v>
      </c>
    </row>
    <row r="5" spans="1:17" ht="18.75" customHeight="1" thickBot="1" x14ac:dyDescent="0.35">
      <c r="A5" s="70"/>
      <c r="B5" s="83">
        <f t="shared" ca="1" si="0"/>
        <v>1.2444444444444445</v>
      </c>
      <c r="C5" s="102">
        <f t="shared" si="6"/>
        <v>44935</v>
      </c>
      <c r="D5" s="79">
        <f>$A$6/2*(100-SUM($E$2:E4))</f>
        <v>0.75</v>
      </c>
      <c r="E5" s="112"/>
      <c r="F5" s="110">
        <f t="shared" si="1"/>
        <v>0.75</v>
      </c>
      <c r="G5" s="37">
        <f t="shared" ca="1" si="7"/>
        <v>0.61727040680771117</v>
      </c>
      <c r="H5" s="139">
        <f t="shared" ca="1" si="2"/>
        <v>1.762151670166236E-2</v>
      </c>
      <c r="I5" s="116">
        <f t="shared" ca="1" si="3"/>
        <v>2.1928998562068716E-2</v>
      </c>
      <c r="J5" s="116">
        <f t="shared" ca="1" si="4"/>
        <v>1.724089590570081</v>
      </c>
      <c r="K5" s="37">
        <f t="shared" ca="1" si="5"/>
        <v>6.3438119512885865E-3</v>
      </c>
      <c r="L5" s="116"/>
      <c r="M5" s="96" t="s">
        <v>11</v>
      </c>
      <c r="N5" s="94">
        <f ca="1">I31</f>
        <v>8.1770796460347626</v>
      </c>
      <c r="O5" s="1"/>
      <c r="P5" s="96" t="s">
        <v>33</v>
      </c>
      <c r="Q5" s="147">
        <f ca="1">(100-SUM(E2:E2))+Q4</f>
        <v>100.28749999999999</v>
      </c>
    </row>
    <row r="6" spans="1:17" ht="18.75" customHeight="1" thickBot="1" x14ac:dyDescent="0.35">
      <c r="A6" s="70">
        <v>1.4999999999999999E-2</v>
      </c>
      <c r="B6" s="83">
        <f t="shared" ca="1" si="0"/>
        <v>1.7444444444444445</v>
      </c>
      <c r="C6" s="102">
        <f t="shared" si="6"/>
        <v>45116</v>
      </c>
      <c r="D6" s="79">
        <f>$A$6/2*(100-SUM($E$2:E5))</f>
        <v>0.75</v>
      </c>
      <c r="E6" s="112"/>
      <c r="F6" s="110">
        <f t="shared" si="1"/>
        <v>0.75</v>
      </c>
      <c r="G6" s="37">
        <f t="shared" ca="1" si="7"/>
        <v>0.57080804791453399</v>
      </c>
      <c r="H6" s="139">
        <f t="shared" ca="1" si="2"/>
        <v>1.6295133281681234E-2</v>
      </c>
      <c r="I6" s="116">
        <f t="shared" ca="1" si="3"/>
        <v>2.8425954724710597E-2</v>
      </c>
      <c r="J6" s="116">
        <f t="shared" ca="1" si="4"/>
        <v>2.7327611469231745</v>
      </c>
      <c r="K6" s="37">
        <f t="shared" ca="1" si="5"/>
        <v>8.8926649674313223E-3</v>
      </c>
      <c r="L6" s="116"/>
      <c r="M6" s="96" t="s">
        <v>18</v>
      </c>
      <c r="N6" s="95">
        <f ca="1">N5/(1+N4/2)</f>
        <v>7.5615853585684363</v>
      </c>
      <c r="O6" s="1"/>
      <c r="P6" s="96" t="s">
        <v>32</v>
      </c>
      <c r="Q6" s="160">
        <f ca="1">N3/Q5</f>
        <v>0.34899663462209174</v>
      </c>
    </row>
    <row r="7" spans="1:17" ht="18.75" customHeight="1" thickBot="1" x14ac:dyDescent="0.35">
      <c r="A7" s="71"/>
      <c r="B7" s="83">
        <f t="shared" ca="1" si="0"/>
        <v>2.2444444444444445</v>
      </c>
      <c r="C7" s="107">
        <f t="shared" si="6"/>
        <v>45300</v>
      </c>
      <c r="D7" s="79">
        <f>$A$8/2*(100-SUM($E$2:E6))</f>
        <v>1.8124999999999998</v>
      </c>
      <c r="E7" s="112"/>
      <c r="F7" s="110">
        <f t="shared" si="1"/>
        <v>1.8124999999999998</v>
      </c>
      <c r="G7" s="37">
        <f t="shared" ca="1" si="7"/>
        <v>1.2756204432648639</v>
      </c>
      <c r="H7" s="139">
        <f t="shared" ca="1" si="2"/>
        <v>3.6415753449486339E-2</v>
      </c>
      <c r="I7" s="116">
        <f t="shared" ca="1" si="3"/>
        <v>8.1733135519958228E-2</v>
      </c>
      <c r="J7" s="116">
        <f t="shared" ca="1" si="4"/>
        <v>9.2890365710536713</v>
      </c>
      <c r="K7" s="37">
        <f t="shared" ca="1" si="5"/>
        <v>2.765033512697064E-2</v>
      </c>
      <c r="L7" s="116"/>
      <c r="M7" s="96" t="s">
        <v>35</v>
      </c>
      <c r="N7" s="95">
        <f ca="1">J31/N3</f>
        <v>65.334759418188369</v>
      </c>
      <c r="O7" s="1"/>
      <c r="P7" s="1"/>
      <c r="Q7" s="1"/>
    </row>
    <row r="8" spans="1:17" ht="18.75" customHeight="1" thickBot="1" x14ac:dyDescent="0.35">
      <c r="A8" s="71">
        <v>3.6249999999999998E-2</v>
      </c>
      <c r="B8" s="83">
        <f t="shared" ca="1" si="0"/>
        <v>2.7444444444444445</v>
      </c>
      <c r="C8" s="107">
        <f t="shared" si="6"/>
        <v>45482</v>
      </c>
      <c r="D8" s="79">
        <f>$A$8/2*(100-SUM($E$2:E7))</f>
        <v>1.8124999999999998</v>
      </c>
      <c r="E8" s="112"/>
      <c r="F8" s="110">
        <f t="shared" si="1"/>
        <v>1.8124999999999998</v>
      </c>
      <c r="G8" s="37">
        <f t="shared" ca="1" si="7"/>
        <v>1.1796036341115477</v>
      </c>
      <c r="H8" s="139">
        <f t="shared" ca="1" si="2"/>
        <v>3.3674715182504325E-2</v>
      </c>
      <c r="I8" s="116">
        <f t="shared" ca="1" si="3"/>
        <v>9.2418385000872988E-2</v>
      </c>
      <c r="J8" s="116">
        <f t="shared" ca="1" si="4"/>
        <v>12.122102086396433</v>
      </c>
      <c r="K8" s="37">
        <f t="shared" ca="1" si="5"/>
        <v>3.3810063249315576E-2</v>
      </c>
      <c r="L8" s="116"/>
      <c r="M8" s="96" t="s">
        <v>38</v>
      </c>
      <c r="N8" s="143">
        <f ca="1">K31</f>
        <v>10.028429151326346</v>
      </c>
      <c r="O8" s="1"/>
      <c r="P8" s="1"/>
      <c r="Q8" s="1"/>
    </row>
    <row r="9" spans="1:17" ht="18.75" customHeight="1" x14ac:dyDescent="0.3">
      <c r="A9" s="72"/>
      <c r="B9" s="83">
        <f t="shared" ca="1" si="0"/>
        <v>3.2444444444444445</v>
      </c>
      <c r="C9" s="104">
        <f t="shared" si="6"/>
        <v>45666</v>
      </c>
      <c r="D9" s="79">
        <f>$A$10/2*(100-SUM($E$2:E8))</f>
        <v>2.0625</v>
      </c>
      <c r="E9" s="112"/>
      <c r="F9" s="110">
        <f>+D9+E9</f>
        <v>2.0625</v>
      </c>
      <c r="G9" s="37">
        <f t="shared" ca="1" si="7"/>
        <v>1.2412711885594887</v>
      </c>
      <c r="H9" s="139">
        <f t="shared" ca="1" si="2"/>
        <v>3.543516867042535E-2</v>
      </c>
      <c r="I9" s="116">
        <f t="shared" ca="1" si="3"/>
        <v>0.11496743613071336</v>
      </c>
      <c r="J9" s="116">
        <f t="shared" ca="1" si="4"/>
        <v>17.093376969960445</v>
      </c>
      <c r="K9" s="37">
        <f t="shared" ca="1" si="5"/>
        <v>4.5482866043613707E-2</v>
      </c>
      <c r="L9" s="116"/>
      <c r="M9" s="189"/>
      <c r="N9" s="190"/>
      <c r="O9" s="184"/>
      <c r="P9" s="184"/>
      <c r="Q9" s="1"/>
    </row>
    <row r="10" spans="1:17" ht="18.75" customHeight="1" x14ac:dyDescent="0.25">
      <c r="A10" s="73">
        <v>4.1250000000000002E-2</v>
      </c>
      <c r="B10" s="83">
        <f t="shared" ca="1" si="0"/>
        <v>3.7444444444444445</v>
      </c>
      <c r="C10" s="104">
        <f t="shared" si="6"/>
        <v>45847</v>
      </c>
      <c r="D10" s="79">
        <f>$A$10/2*(100-SUM($E$2:E9))</f>
        <v>2.0625</v>
      </c>
      <c r="E10" s="112"/>
      <c r="F10" s="110">
        <f t="shared" si="1"/>
        <v>2.0625</v>
      </c>
      <c r="G10" s="37">
        <f t="shared" ca="1" si="7"/>
        <v>1.1478398709220996</v>
      </c>
      <c r="H10" s="139">
        <f t="shared" ca="1" si="2"/>
        <v>3.2767939679617032E-2</v>
      </c>
      <c r="I10" s="116">
        <f t="shared" ca="1" si="3"/>
        <v>0.12269772968923266</v>
      </c>
      <c r="J10" s="116">
        <f t="shared" ca="1" si="4"/>
        <v>20.3917295784962</v>
      </c>
      <c r="K10" s="37">
        <f t="shared" ca="1" si="5"/>
        <v>5.2492211838006231E-2</v>
      </c>
      <c r="L10" s="116"/>
      <c r="M10" s="10"/>
      <c r="N10" s="149"/>
      <c r="O10" s="184"/>
      <c r="P10" s="184"/>
      <c r="Q10" s="1"/>
    </row>
    <row r="11" spans="1:17" ht="18.75" customHeight="1" x14ac:dyDescent="0.25">
      <c r="A11" s="72"/>
      <c r="B11" s="83">
        <f t="shared" ca="1" si="0"/>
        <v>4.2444444444444445</v>
      </c>
      <c r="C11" s="104">
        <f t="shared" si="6"/>
        <v>46031</v>
      </c>
      <c r="D11" s="79">
        <f>$A$10/2*(100-SUM($E$2:E10))</f>
        <v>2.0625</v>
      </c>
      <c r="E11" s="112"/>
      <c r="F11" s="110">
        <f t="shared" si="1"/>
        <v>2.0625</v>
      </c>
      <c r="G11" s="37">
        <f t="shared" ca="1" si="7"/>
        <v>1.061441191434952</v>
      </c>
      <c r="H11" s="139">
        <f t="shared" ca="1" si="2"/>
        <v>3.0301474809774957E-2</v>
      </c>
      <c r="I11" s="116">
        <f t="shared" ca="1" si="3"/>
        <v>0.12861292641482261</v>
      </c>
      <c r="J11" s="116">
        <f t="shared" ca="1" si="4"/>
        <v>23.627418837097235</v>
      </c>
      <c r="K11" s="37">
        <f t="shared" ca="1" si="5"/>
        <v>5.9501557632398755E-2</v>
      </c>
      <c r="L11" s="116"/>
      <c r="M11" s="10"/>
      <c r="N11" s="149"/>
      <c r="O11" s="184"/>
      <c r="P11" s="184"/>
      <c r="Q11" s="1"/>
    </row>
    <row r="12" spans="1:17" ht="18.75" customHeight="1" x14ac:dyDescent="0.25">
      <c r="A12" s="73"/>
      <c r="B12" s="83">
        <f t="shared" ca="1" si="0"/>
        <v>4.7444444444444445</v>
      </c>
      <c r="C12" s="104">
        <f t="shared" si="6"/>
        <v>46212</v>
      </c>
      <c r="D12" s="79">
        <f>$A$10/2*(100-SUM($E$2:E11))</f>
        <v>2.0625</v>
      </c>
      <c r="E12" s="112"/>
      <c r="F12" s="110">
        <f t="shared" si="1"/>
        <v>2.0625</v>
      </c>
      <c r="G12" s="37">
        <f t="shared" ca="1" si="7"/>
        <v>0.98154579869208347</v>
      </c>
      <c r="H12" s="139">
        <f t="shared" ca="1" si="2"/>
        <v>2.8020662410416071E-2</v>
      </c>
      <c r="I12" s="116">
        <f t="shared" ca="1" si="3"/>
        <v>0.13294247610275181</v>
      </c>
      <c r="J12" s="116">
        <f t="shared" ca="1" si="4"/>
        <v>26.751243083143912</v>
      </c>
      <c r="K12" s="37">
        <f t="shared" ca="1" si="5"/>
        <v>6.6510903426791279E-2</v>
      </c>
      <c r="L12" s="116"/>
      <c r="M12" s="10"/>
      <c r="N12" s="149"/>
      <c r="O12" s="184"/>
      <c r="P12" s="184"/>
      <c r="Q12" s="1"/>
    </row>
    <row r="13" spans="1:17" ht="18.75" customHeight="1" x14ac:dyDescent="0.25">
      <c r="A13" s="72"/>
      <c r="B13" s="83">
        <f t="shared" ca="1" si="0"/>
        <v>5.2444444444444445</v>
      </c>
      <c r="C13" s="104">
        <f t="shared" si="6"/>
        <v>46396</v>
      </c>
      <c r="D13" s="79">
        <f>$A$10/2*(100-SUM($E$2:E12))</f>
        <v>2.0625</v>
      </c>
      <c r="E13" s="112"/>
      <c r="F13" s="110">
        <f t="shared" si="1"/>
        <v>2.0625</v>
      </c>
      <c r="G13" s="37">
        <f t="shared" ca="1" si="7"/>
        <v>0.90766418592406939</v>
      </c>
      <c r="H13" s="139">
        <f t="shared" ca="1" si="2"/>
        <v>2.5911528295158099E-2</v>
      </c>
      <c r="I13" s="116">
        <f t="shared" ca="1" si="3"/>
        <v>0.13589157061460691</v>
      </c>
      <c r="J13" s="116">
        <f t="shared" ca="1" si="4"/>
        <v>29.724769458637329</v>
      </c>
      <c r="K13" s="37">
        <f t="shared" ca="1" si="5"/>
        <v>7.3520249221183803E-2</v>
      </c>
      <c r="L13" s="116"/>
      <c r="M13" s="10"/>
      <c r="N13" s="149"/>
      <c r="O13" s="184"/>
      <c r="P13" s="184"/>
      <c r="Q13" s="1"/>
    </row>
    <row r="14" spans="1:17" ht="18.75" customHeight="1" x14ac:dyDescent="0.25">
      <c r="A14" s="73"/>
      <c r="B14" s="83">
        <f t="shared" ca="1" si="0"/>
        <v>5.7444444444444445</v>
      </c>
      <c r="C14" s="104">
        <f t="shared" si="6"/>
        <v>46577</v>
      </c>
      <c r="D14" s="79">
        <f>$A$10/2*(100-SUM($E$2:E13))</f>
        <v>2.0625</v>
      </c>
      <c r="E14" s="112"/>
      <c r="F14" s="110">
        <f t="shared" si="1"/>
        <v>2.0625</v>
      </c>
      <c r="G14" s="37">
        <f t="shared" ca="1" si="7"/>
        <v>0.83934369186541791</v>
      </c>
      <c r="H14" s="139">
        <f t="shared" ca="1" si="2"/>
        <v>2.3961150124031248E-2</v>
      </c>
      <c r="I14" s="116">
        <f t="shared" ca="1" si="3"/>
        <v>0.1376434957124906</v>
      </c>
      <c r="J14" s="116">
        <f t="shared" ca="1" si="4"/>
        <v>32.518765189816492</v>
      </c>
      <c r="K14" s="37">
        <f t="shared" ca="1" si="5"/>
        <v>8.0529595015576327E-2</v>
      </c>
      <c r="L14" s="116"/>
      <c r="M14" s="10"/>
      <c r="N14" s="149"/>
      <c r="O14" s="184"/>
      <c r="P14" s="184"/>
      <c r="Q14" s="1"/>
    </row>
    <row r="15" spans="1:17" ht="18.75" customHeight="1" x14ac:dyDescent="0.25">
      <c r="A15" s="74">
        <v>4.7500000000000001E-2</v>
      </c>
      <c r="B15" s="83">
        <f t="shared" ca="1" si="0"/>
        <v>6.2444444444444445</v>
      </c>
      <c r="C15" s="108">
        <f t="shared" si="6"/>
        <v>46761</v>
      </c>
      <c r="D15" s="79">
        <f>$A$15/2*(100-SUM($E$2:E14))</f>
        <v>2.375</v>
      </c>
      <c r="E15" s="112"/>
      <c r="F15" s="110">
        <f t="shared" si="1"/>
        <v>2.375</v>
      </c>
      <c r="G15" s="37">
        <f t="shared" ca="1" si="7"/>
        <v>0.89376659515183043</v>
      </c>
      <c r="H15" s="139">
        <f t="shared" ca="1" si="2"/>
        <v>2.5514787053062288E-2</v>
      </c>
      <c r="I15" s="116">
        <f t="shared" ca="1" si="3"/>
        <v>0.15932567026467784</v>
      </c>
      <c r="J15" s="116">
        <f t="shared" ca="1" si="4"/>
        <v>40.431793933569672</v>
      </c>
      <c r="K15" s="37">
        <f t="shared" ca="1" si="5"/>
        <v>0.10080241669026715</v>
      </c>
      <c r="L15" s="116"/>
      <c r="M15" s="10"/>
      <c r="N15" s="149"/>
      <c r="O15" s="184"/>
      <c r="P15" s="184"/>
      <c r="Q15" s="1"/>
    </row>
    <row r="16" spans="1:17" ht="18.75" customHeight="1" x14ac:dyDescent="0.25">
      <c r="A16" s="74"/>
      <c r="B16" s="83">
        <f t="shared" ca="1" si="0"/>
        <v>6.7444444444444445</v>
      </c>
      <c r="C16" s="108">
        <f t="shared" si="6"/>
        <v>46943</v>
      </c>
      <c r="D16" s="79">
        <f>$A$15/2*(100-SUM($E$2:E15))</f>
        <v>2.375</v>
      </c>
      <c r="E16" s="112"/>
      <c r="F16" s="110">
        <f t="shared" si="1"/>
        <v>2.375</v>
      </c>
      <c r="G16" s="37">
        <f t="shared" ca="1" si="7"/>
        <v>0.82649218210255326</v>
      </c>
      <c r="H16" s="139">
        <f t="shared" ca="1" si="2"/>
        <v>2.3594271862202566E-2</v>
      </c>
      <c r="I16" s="116">
        <f t="shared" ca="1" si="3"/>
        <v>0.15913025578174397</v>
      </c>
      <c r="J16" s="116">
        <f t="shared" ca="1" si="4"/>
        <v>43.169319248366193</v>
      </c>
      <c r="K16" s="37">
        <f t="shared" ca="1" si="5"/>
        <v>0.10887378457471915</v>
      </c>
      <c r="L16" s="116"/>
      <c r="M16" s="10"/>
      <c r="N16" s="149"/>
      <c r="O16" s="184"/>
      <c r="P16" s="184"/>
      <c r="Q16" s="1"/>
    </row>
    <row r="17" spans="1:17" ht="18.75" customHeight="1" x14ac:dyDescent="0.25">
      <c r="A17" s="75"/>
      <c r="B17" s="83">
        <f t="shared" ca="1" si="0"/>
        <v>7.2444444444444445</v>
      </c>
      <c r="C17" s="105">
        <f t="shared" si="6"/>
        <v>47127</v>
      </c>
      <c r="D17" s="79">
        <f>$A$20/2*(100-SUM($E$2:E16))</f>
        <v>2.5</v>
      </c>
      <c r="E17" s="112"/>
      <c r="F17" s="110">
        <f t="shared" si="1"/>
        <v>2.5</v>
      </c>
      <c r="G17" s="37">
        <f t="shared" ca="1" si="7"/>
        <v>0.80450690462494889</v>
      </c>
      <c r="H17" s="139">
        <f t="shared" ca="1" si="2"/>
        <v>2.2966647518009808E-2</v>
      </c>
      <c r="I17" s="116">
        <f t="shared" ca="1" si="3"/>
        <v>0.16638060201935995</v>
      </c>
      <c r="J17" s="116">
        <f t="shared" ca="1" si="4"/>
        <v>48.050317079885957</v>
      </c>
      <c r="K17" s="37">
        <f t="shared" ca="1" si="5"/>
        <v>0.12310016048333805</v>
      </c>
      <c r="L17" s="116"/>
      <c r="M17" s="10"/>
      <c r="N17" s="149"/>
      <c r="O17" s="184"/>
      <c r="P17" s="184"/>
      <c r="Q17" s="1"/>
    </row>
    <row r="18" spans="1:17" ht="18.75" customHeight="1" x14ac:dyDescent="0.25">
      <c r="A18" s="75"/>
      <c r="B18" s="83">
        <f t="shared" ca="1" si="0"/>
        <v>7.7444444444444445</v>
      </c>
      <c r="C18" s="105">
        <f t="shared" si="6"/>
        <v>47308</v>
      </c>
      <c r="D18" s="79">
        <f>$A$20/2*(100-SUM($E$2:E17))</f>
        <v>2.5</v>
      </c>
      <c r="E18" s="112"/>
      <c r="F18" s="110">
        <f t="shared" si="1"/>
        <v>2.5</v>
      </c>
      <c r="G18" s="37">
        <f t="shared" ca="1" si="7"/>
        <v>0.74395112854613932</v>
      </c>
      <c r="H18" s="139">
        <f t="shared" ca="1" si="2"/>
        <v>2.1237932504644067E-2</v>
      </c>
      <c r="I18" s="116">
        <f t="shared" ca="1" si="3"/>
        <v>0.16447598839707683</v>
      </c>
      <c r="J18" s="116">
        <f t="shared" ca="1" si="4"/>
        <v>50.381013345872923</v>
      </c>
      <c r="K18" s="37">
        <f t="shared" ca="1" si="5"/>
        <v>0.13159633720381383</v>
      </c>
      <c r="L18" s="116"/>
      <c r="M18" s="10"/>
      <c r="N18" s="149"/>
      <c r="O18" s="184"/>
      <c r="P18" s="184"/>
      <c r="Q18" s="1"/>
    </row>
    <row r="19" spans="1:17" ht="18.75" customHeight="1" x14ac:dyDescent="0.25">
      <c r="A19" s="76"/>
      <c r="B19" s="83">
        <f t="shared" ca="1" si="0"/>
        <v>8.2444444444444436</v>
      </c>
      <c r="C19" s="105">
        <f t="shared" si="6"/>
        <v>47492</v>
      </c>
      <c r="D19" s="79">
        <f>$A$20/2*(100-SUM($E$2:E18))</f>
        <v>2.5</v>
      </c>
      <c r="E19" s="112"/>
      <c r="F19" s="110">
        <f t="shared" si="1"/>
        <v>2.5</v>
      </c>
      <c r="G19" s="37">
        <f t="shared" ca="1" si="7"/>
        <v>0.68795342648189217</v>
      </c>
      <c r="H19" s="139">
        <f t="shared" ca="1" si="2"/>
        <v>1.9639339033618919E-2</v>
      </c>
      <c r="I19" s="116">
        <f t="shared" ca="1" si="3"/>
        <v>0.16191543958828039</v>
      </c>
      <c r="J19" s="116">
        <f t="shared" ca="1" si="4"/>
        <v>52.432582730621874</v>
      </c>
      <c r="K19" s="37">
        <f t="shared" ca="1" si="5"/>
        <v>0.14009251392428959</v>
      </c>
      <c r="L19" s="116"/>
      <c r="M19" s="10"/>
      <c r="N19" s="149"/>
      <c r="O19" s="184"/>
      <c r="P19" s="184"/>
      <c r="Q19" s="1"/>
    </row>
    <row r="20" spans="1:17" ht="18.75" customHeight="1" x14ac:dyDescent="0.25">
      <c r="A20" s="77">
        <v>0.05</v>
      </c>
      <c r="B20" s="83">
        <f t="shared" ca="1" si="0"/>
        <v>8.7444444444444436</v>
      </c>
      <c r="C20" s="105">
        <f t="shared" si="6"/>
        <v>47673</v>
      </c>
      <c r="D20" s="79">
        <f>$A$20/2*(100-SUM($E$2:E19))</f>
        <v>2.5</v>
      </c>
      <c r="E20" s="112"/>
      <c r="F20" s="110">
        <f>+D20+E20</f>
        <v>2.5</v>
      </c>
      <c r="G20" s="37">
        <f t="shared" ca="1" si="7"/>
        <v>0.63617070913391827</v>
      </c>
      <c r="H20" s="139">
        <f t="shared" ca="1" si="2"/>
        <v>1.8161072768881174E-2</v>
      </c>
      <c r="I20" s="116">
        <f t="shared" ca="1" si="3"/>
        <v>0.15880849187899426</v>
      </c>
      <c r="J20" s="116">
        <f t="shared" ca="1" si="4"/>
        <v>54.207949046113725</v>
      </c>
      <c r="K20" s="37">
        <f t="shared" ca="1" si="5"/>
        <v>0.14858869064476538</v>
      </c>
      <c r="L20" s="116"/>
      <c r="M20" s="10"/>
      <c r="N20" s="149"/>
      <c r="O20" s="184"/>
      <c r="P20" s="184"/>
      <c r="Q20" s="1"/>
    </row>
    <row r="21" spans="1:17" ht="18.75" customHeight="1" x14ac:dyDescent="0.25">
      <c r="A21" s="76"/>
      <c r="B21" s="83">
        <f t="shared" ca="1" si="0"/>
        <v>9.2444444444444436</v>
      </c>
      <c r="C21" s="105">
        <f t="shared" si="6"/>
        <v>47857</v>
      </c>
      <c r="D21" s="79">
        <f>$A$20/2*(100-SUM($E$2:E20))</f>
        <v>2.5</v>
      </c>
      <c r="E21" s="112">
        <v>10</v>
      </c>
      <c r="F21" s="110">
        <f>+D21+E21</f>
        <v>12.5</v>
      </c>
      <c r="G21" s="37">
        <f t="shared" ca="1" si="7"/>
        <v>2.9414285588314084</v>
      </c>
      <c r="H21" s="139">
        <f t="shared" ca="1" si="2"/>
        <v>8.3970383003215757E-2</v>
      </c>
      <c r="I21" s="116">
        <f t="shared" ca="1" si="3"/>
        <v>0.77625954065195002</v>
      </c>
      <c r="J21" s="116">
        <f t="shared" ca="1" si="4"/>
        <v>278.56563125849488</v>
      </c>
      <c r="K21" s="37">
        <f t="shared" ca="1" si="5"/>
        <v>0.78542433682620594</v>
      </c>
      <c r="L21" s="116"/>
      <c r="M21" s="10"/>
      <c r="N21" s="149"/>
      <c r="O21" s="184"/>
      <c r="P21" s="184"/>
      <c r="Q21" s="1"/>
    </row>
    <row r="22" spans="1:17" ht="18.75" customHeight="1" x14ac:dyDescent="0.25">
      <c r="A22" s="76"/>
      <c r="B22" s="83">
        <f t="shared" ca="1" si="0"/>
        <v>9.7444444444444436</v>
      </c>
      <c r="C22" s="105">
        <f t="shared" si="6"/>
        <v>48038</v>
      </c>
      <c r="D22" s="79">
        <f>$A$20/2*(100-SUM($E$2:E21))</f>
        <v>2.25</v>
      </c>
      <c r="E22" s="112">
        <v>10</v>
      </c>
      <c r="F22" s="110">
        <f t="shared" ref="F22:F30" si="8">+D22+E22</f>
        <v>12.25</v>
      </c>
      <c r="G22" s="37">
        <f t="shared" ca="1" si="7"/>
        <v>2.6656247468287506</v>
      </c>
      <c r="H22" s="139">
        <f t="shared" ca="1" si="2"/>
        <v>7.6096878253941486E-2</v>
      </c>
      <c r="I22" s="116">
        <f t="shared" ca="1" si="3"/>
        <v>0.74152180254118527</v>
      </c>
      <c r="J22" s="116">
        <f t="shared" ca="1" si="4"/>
        <v>279.08729100874604</v>
      </c>
      <c r="K22" s="37">
        <f t="shared" ca="1" si="5"/>
        <v>0.81134711602001319</v>
      </c>
      <c r="L22" s="116"/>
      <c r="M22" s="10"/>
      <c r="N22" s="149"/>
      <c r="O22" s="184"/>
      <c r="P22" s="184"/>
      <c r="Q22" s="1"/>
    </row>
    <row r="23" spans="1:17" ht="18.75" customHeight="1" x14ac:dyDescent="0.25">
      <c r="A23" s="76"/>
      <c r="B23" s="83">
        <f t="shared" ca="1" si="0"/>
        <v>10.244444444444444</v>
      </c>
      <c r="C23" s="105">
        <f t="shared" si="6"/>
        <v>48222</v>
      </c>
      <c r="D23" s="79">
        <f>$A$20/2*(100-SUM($E$2:E22))</f>
        <v>2</v>
      </c>
      <c r="E23" s="112">
        <v>10</v>
      </c>
      <c r="F23" s="110">
        <f t="shared" si="8"/>
        <v>12</v>
      </c>
      <c r="G23" s="37">
        <f t="shared" ca="1" si="7"/>
        <v>2.414675635970331</v>
      </c>
      <c r="H23" s="139">
        <f t="shared" ca="1" si="2"/>
        <v>6.8932912673397281E-2</v>
      </c>
      <c r="I23" s="116">
        <f t="shared" ca="1" si="3"/>
        <v>0.70617939427635879</v>
      </c>
      <c r="J23" s="116">
        <f t="shared" ca="1" si="4"/>
        <v>278.15393921000253</v>
      </c>
      <c r="K23" s="37">
        <f t="shared" ca="1" si="5"/>
        <v>0.83557065986972523</v>
      </c>
      <c r="L23" s="116"/>
      <c r="M23" s="10"/>
      <c r="N23" s="184"/>
      <c r="O23" s="184"/>
      <c r="P23" s="184"/>
      <c r="Q23" s="1"/>
    </row>
    <row r="24" spans="1:17" ht="18.75" customHeight="1" x14ac:dyDescent="0.25">
      <c r="A24" s="76"/>
      <c r="B24" s="83">
        <f t="shared" ca="1" si="0"/>
        <v>10.744444444444444</v>
      </c>
      <c r="C24" s="105">
        <f t="shared" si="6"/>
        <v>48404</v>
      </c>
      <c r="D24" s="79">
        <f>$A$20/2*(100-SUM($E$2:E23))</f>
        <v>1.75</v>
      </c>
      <c r="E24" s="112">
        <v>10</v>
      </c>
      <c r="F24" s="110">
        <f t="shared" si="8"/>
        <v>11.75</v>
      </c>
      <c r="G24" s="37">
        <f t="shared" ca="1" si="7"/>
        <v>2.1864021806378853</v>
      </c>
      <c r="H24" s="139">
        <f t="shared" ca="1" si="2"/>
        <v>6.2416279992932581E-2</v>
      </c>
      <c r="I24" s="116">
        <f t="shared" ca="1" si="3"/>
        <v>0.67062825281295335</v>
      </c>
      <c r="J24" s="116">
        <f t="shared" ca="1" si="4"/>
        <v>275.89669265079192</v>
      </c>
      <c r="K24" s="37">
        <f t="shared" ca="1" si="5"/>
        <v>0.85809496837534205</v>
      </c>
      <c r="L24" s="116"/>
      <c r="M24" s="1"/>
      <c r="N24" s="1"/>
      <c r="O24" s="1"/>
      <c r="P24" s="1"/>
      <c r="Q24" s="1"/>
    </row>
    <row r="25" spans="1:17" ht="18.75" customHeight="1" x14ac:dyDescent="0.25">
      <c r="A25" s="76"/>
      <c r="B25" s="83">
        <f t="shared" ca="1" si="0"/>
        <v>11.244444444444444</v>
      </c>
      <c r="C25" s="105">
        <f t="shared" si="6"/>
        <v>48588</v>
      </c>
      <c r="D25" s="79">
        <f>$A$20/2*(100-SUM($E$2:E24))</f>
        <v>1.5</v>
      </c>
      <c r="E25" s="112">
        <v>10</v>
      </c>
      <c r="F25" s="110">
        <f t="shared" si="8"/>
        <v>11.5</v>
      </c>
      <c r="G25" s="37">
        <f t="shared" ca="1" si="7"/>
        <v>1.9788125530341032</v>
      </c>
      <c r="H25" s="139">
        <f t="shared" ca="1" si="2"/>
        <v>5.6490118541535725E-2</v>
      </c>
      <c r="I25" s="116">
        <f t="shared" ca="1" si="3"/>
        <v>0.63519999960037943</v>
      </c>
      <c r="J25" s="116">
        <f t="shared" ca="1" si="4"/>
        <v>272.44682106727214</v>
      </c>
      <c r="K25" s="37">
        <f t="shared" ca="1" si="5"/>
        <v>0.87892004153686387</v>
      </c>
      <c r="L25" s="116"/>
      <c r="M25" s="1"/>
      <c r="N25" s="1"/>
      <c r="O25" s="1"/>
      <c r="P25" s="1"/>
      <c r="Q25" s="1"/>
    </row>
    <row r="26" spans="1:17" ht="18.75" customHeight="1" x14ac:dyDescent="0.25">
      <c r="A26" s="76"/>
      <c r="B26" s="83">
        <f t="shared" ca="1" si="0"/>
        <v>11.744444444444444</v>
      </c>
      <c r="C26" s="105">
        <f t="shared" si="6"/>
        <v>48769</v>
      </c>
      <c r="D26" s="79">
        <f>$A$20/2*(100-SUM($E$2:E25))</f>
        <v>1.25</v>
      </c>
      <c r="E26" s="112">
        <v>10</v>
      </c>
      <c r="F26" s="110">
        <f t="shared" si="8"/>
        <v>11.25</v>
      </c>
      <c r="G26" s="37">
        <f t="shared" ca="1" si="7"/>
        <v>1.7900863049224374</v>
      </c>
      <c r="H26" s="139">
        <f t="shared" ca="1" si="2"/>
        <v>5.1102459103363793E-2</v>
      </c>
      <c r="I26" s="116">
        <f t="shared" ca="1" si="3"/>
        <v>0.60016999191395026</v>
      </c>
      <c r="J26" s="116">
        <f t="shared" ca="1" si="4"/>
        <v>267.93370916982218</v>
      </c>
      <c r="K26" s="37">
        <f t="shared" ca="1" si="5"/>
        <v>0.89804587935429059</v>
      </c>
      <c r="L26" s="116"/>
      <c r="M26" s="1"/>
      <c r="N26" s="1"/>
      <c r="O26" s="1"/>
      <c r="P26" s="1"/>
      <c r="Q26" s="1"/>
    </row>
    <row r="27" spans="1:17" ht="18.75" customHeight="1" x14ac:dyDescent="0.25">
      <c r="A27" s="76"/>
      <c r="B27" s="83">
        <f t="shared" ca="1" si="0"/>
        <v>12.244444444444444</v>
      </c>
      <c r="C27" s="105">
        <f t="shared" si="6"/>
        <v>48953</v>
      </c>
      <c r="D27" s="79">
        <f>$A$20/2*(100-SUM($E$2:E26))</f>
        <v>1</v>
      </c>
      <c r="E27" s="112">
        <v>10</v>
      </c>
      <c r="F27" s="110">
        <f t="shared" si="8"/>
        <v>11</v>
      </c>
      <c r="G27" s="37">
        <f t="shared" ca="1" si="7"/>
        <v>1.6185598529647451</v>
      </c>
      <c r="H27" s="139">
        <f t="shared" ca="1" si="2"/>
        <v>4.6205810560659664E-2</v>
      </c>
      <c r="I27" s="116">
        <f t="shared" ca="1" si="3"/>
        <v>0.56576448042052163</v>
      </c>
      <c r="J27" s="116">
        <f t="shared" ca="1" si="4"/>
        <v>262.4832501107212</v>
      </c>
      <c r="K27" s="37">
        <f t="shared" ca="1" si="5"/>
        <v>0.91547248182762186</v>
      </c>
      <c r="L27" s="116"/>
      <c r="M27" s="1"/>
      <c r="N27" s="1"/>
      <c r="O27" s="1"/>
      <c r="P27" s="1"/>
      <c r="Q27" s="1"/>
    </row>
    <row r="28" spans="1:17" ht="18.75" customHeight="1" x14ac:dyDescent="0.25">
      <c r="A28" s="76"/>
      <c r="B28" s="83">
        <f t="shared" ca="1" si="0"/>
        <v>12.744444444444444</v>
      </c>
      <c r="C28" s="105">
        <f t="shared" si="6"/>
        <v>49134</v>
      </c>
      <c r="D28" s="79">
        <f>$A$20/2*(100-SUM($E$2:E27))</f>
        <v>0.75</v>
      </c>
      <c r="E28" s="112">
        <v>10</v>
      </c>
      <c r="F28" s="110">
        <f t="shared" si="8"/>
        <v>10.75</v>
      </c>
      <c r="G28" s="37">
        <f t="shared" ca="1" si="7"/>
        <v>1.4627131781349763</v>
      </c>
      <c r="H28" s="139">
        <f t="shared" ca="1" si="2"/>
        <v>4.1756780195484858E-2</v>
      </c>
      <c r="I28" s="116">
        <f t="shared" ca="1" si="3"/>
        <v>0.53216696538023478</v>
      </c>
      <c r="J28" s="116">
        <f t="shared" ca="1" si="4"/>
        <v>256.2166053026977</v>
      </c>
      <c r="K28" s="37">
        <f t="shared" ca="1" si="5"/>
        <v>0.93119984895685826</v>
      </c>
      <c r="L28" s="116"/>
      <c r="M28" s="1"/>
      <c r="N28" s="1"/>
      <c r="O28" s="1"/>
      <c r="P28" s="1"/>
      <c r="Q28" s="1"/>
    </row>
    <row r="29" spans="1:17" ht="18.75" customHeight="1" x14ac:dyDescent="0.25">
      <c r="A29" s="76"/>
      <c r="B29" s="83">
        <f t="shared" ca="1" si="0"/>
        <v>13.244444444444444</v>
      </c>
      <c r="C29" s="105">
        <f t="shared" si="6"/>
        <v>49318</v>
      </c>
      <c r="D29" s="79">
        <f>$A$20/2*(100-SUM($E$2:E28))</f>
        <v>0.5</v>
      </c>
      <c r="E29" s="112">
        <v>10</v>
      </c>
      <c r="F29" s="110">
        <f t="shared" si="8"/>
        <v>10.5</v>
      </c>
      <c r="G29" s="37">
        <f t="shared" ca="1" si="7"/>
        <v>1.321157638675617</v>
      </c>
      <c r="H29" s="139">
        <f t="shared" ca="1" si="2"/>
        <v>3.7715725780295674E-2</v>
      </c>
      <c r="I29" s="116">
        <f t="shared" ca="1" si="3"/>
        <v>0.49952383477902712</v>
      </c>
      <c r="J29" s="116">
        <f t="shared" ca="1" si="4"/>
        <v>249.2492739007792</v>
      </c>
      <c r="K29" s="37">
        <f t="shared" ca="1" si="5"/>
        <v>0.94522798074199943</v>
      </c>
      <c r="L29" s="116"/>
      <c r="M29" s="1"/>
      <c r="N29" s="1"/>
      <c r="O29" s="1"/>
      <c r="P29" s="1"/>
      <c r="Q29" s="1"/>
    </row>
    <row r="30" spans="1:17" ht="18.75" customHeight="1" thickBot="1" x14ac:dyDescent="0.3">
      <c r="A30" s="78"/>
      <c r="B30" s="91">
        <f t="shared" ca="1" si="0"/>
        <v>13.744444444444444</v>
      </c>
      <c r="C30" s="109">
        <f t="shared" si="6"/>
        <v>49499</v>
      </c>
      <c r="D30" s="80">
        <f>$A$20/2*(100-SUM($E$2:E29))</f>
        <v>0.25</v>
      </c>
      <c r="E30" s="113">
        <v>10</v>
      </c>
      <c r="F30" s="111">
        <f t="shared" si="8"/>
        <v>10.25</v>
      </c>
      <c r="G30" s="44">
        <f ca="1">F30/((1+$O$4)^(B30))</f>
        <v>1.1926248043194556</v>
      </c>
      <c r="H30" s="140">
        <f t="shared" ca="1" si="2"/>
        <v>3.4046436823074268E-2</v>
      </c>
      <c r="I30" s="99">
        <f t="shared" ca="1" si="3"/>
        <v>0.46794935944603183</v>
      </c>
      <c r="J30" s="99">
        <f t="shared" ca="1" si="4"/>
        <v>241.6904226747632</v>
      </c>
      <c r="K30" s="44">
        <f t="shared" ca="1" si="5"/>
        <v>0.95755687718304539</v>
      </c>
      <c r="L30" s="116"/>
      <c r="M30" s="1"/>
      <c r="N30" s="1"/>
      <c r="O30" s="1"/>
      <c r="P30" s="1"/>
      <c r="Q30" s="1"/>
    </row>
    <row r="31" spans="1:17" ht="18.75" customHeight="1" thickTop="1" x14ac:dyDescent="0.25">
      <c r="A31" s="84"/>
      <c r="B31" s="84"/>
      <c r="C31" s="85"/>
      <c r="D31" s="85"/>
      <c r="E31" s="85"/>
      <c r="F31" s="120">
        <f>SUM(F3:F30)</f>
        <v>147.125</v>
      </c>
      <c r="G31" s="120">
        <f ca="1">SUM(G3:G30)</f>
        <v>35.02935741901716</v>
      </c>
      <c r="H31" s="87">
        <f ca="1">SUM(H3:H30)</f>
        <v>1</v>
      </c>
      <c r="I31" s="118">
        <f ca="1">SUM(I3:I30)</f>
        <v>8.1770796460347626</v>
      </c>
      <c r="J31" s="188">
        <f ca="1">SUM(J3:J30)/((1+O4)^2)</f>
        <v>2286.7165792879027</v>
      </c>
      <c r="K31" s="194">
        <f ca="1">SUM(K3:K30)</f>
        <v>10.028429151326346</v>
      </c>
      <c r="L31" s="116"/>
      <c r="M31" s="1"/>
      <c r="N31" s="1"/>
      <c r="O31" s="1"/>
      <c r="P31" s="1"/>
      <c r="Q31" s="1"/>
    </row>
    <row r="32" spans="1:17" ht="24" customHeight="1" x14ac:dyDescent="0.25">
      <c r="E32" s="114"/>
      <c r="L32" s="169"/>
      <c r="M32" s="1"/>
      <c r="N32" s="1"/>
    </row>
  </sheetData>
  <pageMargins left="0.7" right="0.7" top="0.75" bottom="0.75" header="0.3" footer="0.3"/>
  <ignoredErrors>
    <ignoredError sqref="J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E1" workbookViewId="0">
      <selection activeCell="Q3" sqref="Q3:Q4"/>
    </sheetView>
  </sheetViews>
  <sheetFormatPr baseColWidth="10" defaultRowHeight="15" x14ac:dyDescent="0.25"/>
  <cols>
    <col min="1" max="1" width="19" style="2" customWidth="1"/>
    <col min="2" max="2" width="16.5703125" customWidth="1"/>
    <col min="3" max="7" width="15.85546875" customWidth="1"/>
    <col min="8" max="8" width="18.28515625" customWidth="1"/>
    <col min="9" max="9" width="12.85546875" customWidth="1"/>
    <col min="10" max="11" width="15.140625" customWidth="1"/>
    <col min="12" max="12" width="5" customWidth="1"/>
    <col min="13" max="13" width="15.28515625" customWidth="1"/>
    <col min="15" max="15" width="6" customWidth="1"/>
    <col min="16" max="16" width="18.140625" customWidth="1"/>
    <col min="17" max="17" width="17.140625" customWidth="1"/>
  </cols>
  <sheetData>
    <row r="1" spans="1:17" ht="30" customHeight="1" thickBot="1" x14ac:dyDescent="0.35">
      <c r="A1" s="3" t="s">
        <v>0</v>
      </c>
      <c r="B1" s="92" t="s">
        <v>17</v>
      </c>
      <c r="C1" s="97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16</v>
      </c>
      <c r="I1" s="93" t="s">
        <v>15</v>
      </c>
      <c r="J1" s="93" t="s">
        <v>34</v>
      </c>
      <c r="K1" s="93" t="s">
        <v>37</v>
      </c>
      <c r="L1" s="156"/>
      <c r="M1" s="1"/>
      <c r="N1" s="1"/>
      <c r="O1" s="1"/>
      <c r="P1" s="1"/>
      <c r="Q1" s="1"/>
    </row>
    <row r="2" spans="1:17" ht="16.5" thickBot="1" x14ac:dyDescent="0.3">
      <c r="A2" s="4" t="s">
        <v>5</v>
      </c>
      <c r="B2" s="81"/>
      <c r="C2" s="32">
        <f ca="1">WORKDAY(TODAY(),2)</f>
        <v>44480</v>
      </c>
      <c r="D2" s="5"/>
      <c r="E2" s="5"/>
      <c r="F2" s="177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thickBot="1" x14ac:dyDescent="0.35">
      <c r="A3" s="7"/>
      <c r="B3" s="83">
        <f t="shared" ref="B3:B35" ca="1" si="0">DAYS360($C$2,C3)/360</f>
        <v>0.24444444444444444</v>
      </c>
      <c r="C3" s="106">
        <v>44570</v>
      </c>
      <c r="D3" s="6">
        <v>1</v>
      </c>
      <c r="E3" s="6"/>
      <c r="F3" s="6">
        <f t="shared" ref="F3:F35" si="1">+D3+E3</f>
        <v>1</v>
      </c>
      <c r="G3" s="37">
        <f t="shared" ref="G3:G35" ca="1" si="2">F3/((1+$O$4)^(B3))</f>
        <v>0.96361468922708993</v>
      </c>
      <c r="H3" s="139">
        <f t="shared" ref="H3:H34" ca="1" si="3">+G3/$G$36</f>
        <v>2.2290513816233565E-2</v>
      </c>
      <c r="I3" s="116">
        <f t="shared" ref="I3:I35" ca="1" si="4">+H3*B3</f>
        <v>5.4487922661904265E-3</v>
      </c>
      <c r="J3" s="116">
        <f ca="1">G3*B3*(1+B3)</f>
        <v>0.2931292091673518</v>
      </c>
      <c r="K3" s="37">
        <f t="shared" ref="K3:K35" ca="1" si="5">(B3*F3)/$F$36</f>
        <v>1.6148270483530599E-3</v>
      </c>
      <c r="L3" s="116"/>
      <c r="M3" s="96" t="s">
        <v>29</v>
      </c>
      <c r="N3" s="142">
        <f ca="1">'Curva de rendimientos'!B5</f>
        <v>43.200000239898671</v>
      </c>
      <c r="P3" s="96" t="s">
        <v>30</v>
      </c>
      <c r="Q3" s="159">
        <v>44386</v>
      </c>
    </row>
    <row r="4" spans="1:17" ht="18" customHeight="1" thickBot="1" x14ac:dyDescent="0.35">
      <c r="A4" s="8">
        <v>0.02</v>
      </c>
      <c r="B4" s="83">
        <f t="shared" ca="1" si="0"/>
        <v>0.74444444444444446</v>
      </c>
      <c r="C4" s="106">
        <f t="shared" ref="C4:C35" si="6">EDATE(C3,6)</f>
        <v>44751</v>
      </c>
      <c r="D4" s="6">
        <f>$A$4/2*(100-SUM($E$2:E3))</f>
        <v>1</v>
      </c>
      <c r="E4" s="6"/>
      <c r="F4" s="6">
        <f t="shared" si="1"/>
        <v>1</v>
      </c>
      <c r="G4" s="37">
        <f t="shared" ca="1" si="2"/>
        <v>0.8932614093653789</v>
      </c>
      <c r="H4" s="139">
        <f t="shared" ca="1" si="3"/>
        <v>2.0663088690499262E-2</v>
      </c>
      <c r="I4" s="116">
        <f t="shared" ca="1" si="4"/>
        <v>1.5382521580705006E-2</v>
      </c>
      <c r="J4" s="116">
        <f t="shared" ref="J4:J35" ca="1" si="7">G4*B4*(1+B4)</f>
        <v>1.1600267611252371</v>
      </c>
      <c r="K4" s="37">
        <f t="shared" ca="1" si="5"/>
        <v>4.9178823745297737E-3</v>
      </c>
      <c r="L4" s="116"/>
      <c r="M4" s="96" t="s">
        <v>13</v>
      </c>
      <c r="N4" s="192">
        <f>'Curva de rendimientos'!H5</f>
        <v>0.15752002521119524</v>
      </c>
      <c r="O4" s="202">
        <f>(1+N4/2)^2-1</f>
        <v>0.16372316479682913</v>
      </c>
      <c r="P4" s="96" t="s">
        <v>31</v>
      </c>
      <c r="Q4" s="148">
        <f ca="1">D3/180*DAYS360(Q3,C2)</f>
        <v>0.51111111111111118</v>
      </c>
    </row>
    <row r="5" spans="1:17" ht="18" thickBot="1" x14ac:dyDescent="0.35">
      <c r="A5" s="9"/>
      <c r="B5" s="83">
        <f t="shared" ca="1" si="0"/>
        <v>1.2444444444444445</v>
      </c>
      <c r="C5" s="103">
        <f t="shared" si="6"/>
        <v>44935</v>
      </c>
      <c r="D5" s="6">
        <f>$A$6/2*(100-SUM($E$2:E4))</f>
        <v>1.9375</v>
      </c>
      <c r="E5" s="6"/>
      <c r="F5" s="6">
        <f t="shared" si="1"/>
        <v>1.9375</v>
      </c>
      <c r="G5" s="37">
        <f t="shared" ca="1" si="2"/>
        <v>1.6043364236918334</v>
      </c>
      <c r="H5" s="139">
        <f t="shared" ca="1" si="3"/>
        <v>3.7111807881295006E-2</v>
      </c>
      <c r="I5" s="116">
        <f t="shared" ca="1" si="4"/>
        <v>4.618358314116712E-2</v>
      </c>
      <c r="J5" s="116">
        <f t="shared" ca="1" si="7"/>
        <v>4.4810502777288939</v>
      </c>
      <c r="K5" s="37">
        <f t="shared" ca="1" si="5"/>
        <v>1.5928066795118816E-2</v>
      </c>
      <c r="L5" s="116"/>
      <c r="M5" s="96" t="s">
        <v>11</v>
      </c>
      <c r="N5" s="142">
        <f ca="1">I36</f>
        <v>7.060390790463476</v>
      </c>
      <c r="P5" s="96" t="s">
        <v>33</v>
      </c>
      <c r="Q5" s="147">
        <f ca="1">(100-SUM(E2:E2))+Q4</f>
        <v>100.51111111111111</v>
      </c>
    </row>
    <row r="6" spans="1:17" ht="18" thickBot="1" x14ac:dyDescent="0.35">
      <c r="A6" s="9">
        <v>3.875E-2</v>
      </c>
      <c r="B6" s="83">
        <f t="shared" ca="1" si="0"/>
        <v>1.7444444444444445</v>
      </c>
      <c r="C6" s="103">
        <f t="shared" si="6"/>
        <v>45116</v>
      </c>
      <c r="D6" s="6">
        <f>$A$6/2*(100-SUM($E$2:E5))</f>
        <v>1.9375</v>
      </c>
      <c r="E6" s="6"/>
      <c r="F6" s="6">
        <f t="shared" si="1"/>
        <v>1.9375</v>
      </c>
      <c r="G6" s="37">
        <f t="shared" ca="1" si="2"/>
        <v>1.4872042019955649</v>
      </c>
      <c r="H6" s="139">
        <f t="shared" ca="1" si="3"/>
        <v>3.4402283591933022E-2</v>
      </c>
      <c r="I6" s="116">
        <f t="shared" ca="1" si="4"/>
        <v>6.0012872488149828E-2</v>
      </c>
      <c r="J6" s="116">
        <f t="shared" ca="1" si="7"/>
        <v>7.120036018418026</v>
      </c>
      <c r="K6" s="37">
        <f t="shared" ca="1" si="5"/>
        <v>2.2327736489586199E-2</v>
      </c>
      <c r="L6" s="116"/>
      <c r="M6" s="96" t="s">
        <v>12</v>
      </c>
      <c r="N6" s="143">
        <f ca="1">N5/(1+N4/2)</f>
        <v>6.5449133337915129</v>
      </c>
      <c r="P6" s="96" t="s">
        <v>32</v>
      </c>
      <c r="Q6" s="160">
        <f ca="1">N3/Q5</f>
        <v>0.42980323033284112</v>
      </c>
    </row>
    <row r="7" spans="1:17" ht="18" thickBot="1" x14ac:dyDescent="0.35">
      <c r="A7" s="11"/>
      <c r="B7" s="83">
        <f t="shared" ca="1" si="0"/>
        <v>2.2444444444444445</v>
      </c>
      <c r="C7" s="124">
        <f t="shared" si="6"/>
        <v>45300</v>
      </c>
      <c r="D7" s="6">
        <f>$A$8/2*(100-SUM($E$2:E6))</f>
        <v>2.125</v>
      </c>
      <c r="E7" s="6"/>
      <c r="F7" s="6">
        <f t="shared" si="1"/>
        <v>2.125</v>
      </c>
      <c r="G7" s="37">
        <f t="shared" ca="1" si="2"/>
        <v>1.512038980148785</v>
      </c>
      <c r="H7" s="139">
        <f t="shared" ca="1" si="3"/>
        <v>3.4976766288944902E-2</v>
      </c>
      <c r="I7" s="116">
        <f t="shared" ca="1" si="4"/>
        <v>7.850340878185412E-2</v>
      </c>
      <c r="J7" s="116">
        <f t="shared" ca="1" si="7"/>
        <v>11.010630519147647</v>
      </c>
      <c r="K7" s="37">
        <f t="shared" ca="1" si="5"/>
        <v>3.1507477750252318E-2</v>
      </c>
      <c r="L7" s="116"/>
      <c r="M7" s="170" t="s">
        <v>35</v>
      </c>
      <c r="N7" s="171">
        <f ca="1">J36/N3</f>
        <v>53.398668390046815</v>
      </c>
      <c r="O7" s="1"/>
      <c r="P7" s="1"/>
      <c r="Q7" s="1"/>
    </row>
    <row r="8" spans="1:17" ht="18" thickBot="1" x14ac:dyDescent="0.35">
      <c r="A8" s="11">
        <v>4.2500000000000003E-2</v>
      </c>
      <c r="B8" s="83">
        <f t="shared" ca="1" si="0"/>
        <v>2.7444444444444445</v>
      </c>
      <c r="C8" s="124">
        <f t="shared" si="6"/>
        <v>45482</v>
      </c>
      <c r="D8" s="6">
        <f>$A$8/2*(100-SUM($E$2:E7))</f>
        <v>2.125</v>
      </c>
      <c r="E8" s="6"/>
      <c r="F8" s="6">
        <f t="shared" si="1"/>
        <v>2.125</v>
      </c>
      <c r="G8" s="37">
        <f t="shared" ca="1" si="2"/>
        <v>1.4016453729098293</v>
      </c>
      <c r="H8" s="139">
        <f t="shared" ca="1" si="3"/>
        <v>3.2423120879743493E-2</v>
      </c>
      <c r="I8" s="116">
        <f t="shared" ca="1" si="4"/>
        <v>8.8983453969962698E-2</v>
      </c>
      <c r="J8" s="116">
        <f t="shared" ca="1" si="7"/>
        <v>14.403896196992751</v>
      </c>
      <c r="K8" s="37">
        <f t="shared" ca="1" si="5"/>
        <v>3.8526470318377838E-2</v>
      </c>
      <c r="L8" s="116"/>
      <c r="M8" s="96" t="s">
        <v>38</v>
      </c>
      <c r="N8" s="143">
        <f ca="1">K36</f>
        <v>9.4841223965501413</v>
      </c>
      <c r="O8" s="1"/>
      <c r="P8" s="1"/>
      <c r="Q8" s="1"/>
    </row>
    <row r="9" spans="1:17" ht="17.25" x14ac:dyDescent="0.3">
      <c r="A9" s="12"/>
      <c r="B9" s="83">
        <f t="shared" ca="1" si="0"/>
        <v>3.2444444444444445</v>
      </c>
      <c r="C9" s="125">
        <f t="shared" si="6"/>
        <v>45666</v>
      </c>
      <c r="D9" s="6">
        <f>$A$20/2*(100-SUM($E$2:E8))</f>
        <v>2.5</v>
      </c>
      <c r="E9" s="6"/>
      <c r="F9" s="6">
        <f t="shared" si="1"/>
        <v>2.5</v>
      </c>
      <c r="G9" s="37">
        <f t="shared" ca="1" si="2"/>
        <v>1.5286018549960743</v>
      </c>
      <c r="H9" s="139">
        <f t="shared" ca="1" si="3"/>
        <v>3.5359901783606339E-2</v>
      </c>
      <c r="I9" s="116">
        <f t="shared" ca="1" si="4"/>
        <v>0.11472323689792278</v>
      </c>
      <c r="J9" s="116">
        <f t="shared" ca="1" si="7"/>
        <v>21.050168557244707</v>
      </c>
      <c r="K9" s="37">
        <f t="shared" ca="1" si="5"/>
        <v>5.3582897513533352E-2</v>
      </c>
      <c r="L9" s="116"/>
      <c r="M9" s="189"/>
      <c r="N9" s="190"/>
      <c r="O9" s="1"/>
      <c r="P9" s="1"/>
      <c r="Q9" s="1"/>
    </row>
    <row r="10" spans="1:17" ht="17.25" x14ac:dyDescent="0.3">
      <c r="A10" s="12"/>
      <c r="B10" s="83">
        <f t="shared" ca="1" si="0"/>
        <v>3.7444444444444445</v>
      </c>
      <c r="C10" s="125">
        <f t="shared" si="6"/>
        <v>45847</v>
      </c>
      <c r="D10" s="6">
        <f>$A$20/2*(100-SUM($E$2:E9))</f>
        <v>2.5</v>
      </c>
      <c r="E10" s="6"/>
      <c r="F10" s="6">
        <f t="shared" si="1"/>
        <v>2.5</v>
      </c>
      <c r="G10" s="37">
        <f t="shared" ca="1" si="2"/>
        <v>1.4169989961937364</v>
      </c>
      <c r="H10" s="139">
        <f t="shared" ca="1" si="3"/>
        <v>3.2778283742831107E-2</v>
      </c>
      <c r="I10" s="116">
        <f t="shared" ca="1" si="4"/>
        <v>0.12273646245926759</v>
      </c>
      <c r="J10" s="116">
        <f t="shared" ca="1" si="7"/>
        <v>25.17342451275092</v>
      </c>
      <c r="K10" s="37">
        <f t="shared" ca="1" si="5"/>
        <v>6.1840535828975134E-2</v>
      </c>
      <c r="L10" s="116"/>
      <c r="M10" s="10"/>
      <c r="N10" s="149"/>
      <c r="O10" s="1"/>
      <c r="P10" s="1"/>
      <c r="Q10" s="1"/>
    </row>
    <row r="11" spans="1:17" ht="17.25" x14ac:dyDescent="0.3">
      <c r="A11" s="12"/>
      <c r="B11" s="83">
        <f t="shared" ca="1" si="0"/>
        <v>4.2444444444444445</v>
      </c>
      <c r="C11" s="125">
        <f t="shared" si="6"/>
        <v>46031</v>
      </c>
      <c r="D11" s="6">
        <f>$A$20/2*(100-SUM($E$2:E10))</f>
        <v>2.5</v>
      </c>
      <c r="E11" s="6"/>
      <c r="F11" s="6">
        <f t="shared" si="1"/>
        <v>2.5</v>
      </c>
      <c r="G11" s="37">
        <f t="shared" ca="1" si="2"/>
        <v>1.3135442356369593</v>
      </c>
      <c r="H11" s="139">
        <f t="shared" ca="1" si="3"/>
        <v>3.0385149022774428E-2</v>
      </c>
      <c r="I11" s="116">
        <f t="shared" ca="1" si="4"/>
        <v>0.12896807696333146</v>
      </c>
      <c r="J11" s="116">
        <f t="shared" ca="1" si="7"/>
        <v>29.239170353368678</v>
      </c>
      <c r="K11" s="37">
        <f t="shared" ca="1" si="5"/>
        <v>7.0098174144416922E-2</v>
      </c>
      <c r="L11" s="116"/>
      <c r="M11" s="10"/>
      <c r="N11" s="149"/>
      <c r="O11" s="1"/>
      <c r="P11" s="1"/>
      <c r="Q11" s="1"/>
    </row>
    <row r="12" spans="1:17" ht="17.25" x14ac:dyDescent="0.3">
      <c r="A12" s="12"/>
      <c r="B12" s="83">
        <f t="shared" ca="1" si="0"/>
        <v>4.7444444444444445</v>
      </c>
      <c r="C12" s="125">
        <f t="shared" si="6"/>
        <v>46212</v>
      </c>
      <c r="D12" s="6">
        <f>$A$20/2*(100-SUM($E$2:E11))</f>
        <v>2.5</v>
      </c>
      <c r="E12" s="6"/>
      <c r="F12" s="6">
        <f t="shared" si="1"/>
        <v>2.5</v>
      </c>
      <c r="G12" s="37">
        <f t="shared" ca="1" si="2"/>
        <v>1.2176426826058118</v>
      </c>
      <c r="H12" s="139">
        <f t="shared" ca="1" si="3"/>
        <v>2.8166736500904632E-2</v>
      </c>
      <c r="I12" s="116">
        <f t="shared" ca="1" si="4"/>
        <v>0.13363551650984754</v>
      </c>
      <c r="J12" s="116">
        <f t="shared" ca="1" si="7"/>
        <v>33.185874193750173</v>
      </c>
      <c r="K12" s="37">
        <f t="shared" ca="1" si="5"/>
        <v>7.8355812459858704E-2</v>
      </c>
      <c r="L12" s="116"/>
      <c r="M12" s="10"/>
      <c r="N12" s="149"/>
      <c r="O12" s="1"/>
      <c r="P12" s="1"/>
      <c r="Q12" s="1"/>
    </row>
    <row r="13" spans="1:17" ht="17.25" x14ac:dyDescent="0.3">
      <c r="A13" s="12"/>
      <c r="B13" s="83">
        <f t="shared" ca="1" si="0"/>
        <v>5.2444444444444445</v>
      </c>
      <c r="C13" s="125">
        <f t="shared" si="6"/>
        <v>46396</v>
      </c>
      <c r="D13" s="6">
        <f>$A$20/2*(100-SUM($E$2:E12))</f>
        <v>2.5</v>
      </c>
      <c r="E13" s="6"/>
      <c r="F13" s="6">
        <f t="shared" si="1"/>
        <v>2.5</v>
      </c>
      <c r="G13" s="37">
        <f t="shared" ca="1" si="2"/>
        <v>1.1287428792106988</v>
      </c>
      <c r="H13" s="139">
        <f t="shared" ca="1" si="3"/>
        <v>2.6110289750981525E-2</v>
      </c>
      <c r="I13" s="116">
        <f t="shared" ca="1" si="4"/>
        <v>0.13693396402736976</v>
      </c>
      <c r="J13" s="116">
        <f t="shared" ca="1" si="7"/>
        <v>36.964796433450225</v>
      </c>
      <c r="K13" s="37">
        <f t="shared" ca="1" si="5"/>
        <v>8.6613450775300485E-2</v>
      </c>
      <c r="L13" s="116"/>
      <c r="M13" s="10"/>
      <c r="N13" s="149"/>
      <c r="O13" s="1"/>
      <c r="P13" s="1"/>
      <c r="Q13" s="1"/>
    </row>
    <row r="14" spans="1:17" ht="17.25" x14ac:dyDescent="0.3">
      <c r="A14" s="12"/>
      <c r="B14" s="83">
        <f t="shared" ca="1" si="0"/>
        <v>5.7444444444444445</v>
      </c>
      <c r="C14" s="125">
        <f t="shared" si="6"/>
        <v>46577</v>
      </c>
      <c r="D14" s="6">
        <f>$A$20/2*(100-SUM($E$2:E13))</f>
        <v>2.5</v>
      </c>
      <c r="E14" s="6">
        <v>4.5454545454545459</v>
      </c>
      <c r="F14" s="6">
        <f t="shared" si="1"/>
        <v>7.0454545454545459</v>
      </c>
      <c r="G14" s="37">
        <f t="shared" ca="1" si="2"/>
        <v>2.9487584100475783</v>
      </c>
      <c r="H14" s="139">
        <f t="shared" ca="1" si="3"/>
        <v>6.8211226763906646E-2</v>
      </c>
      <c r="I14" s="116">
        <f t="shared" ca="1" si="4"/>
        <v>0.39183560263266376</v>
      </c>
      <c r="J14" s="116">
        <f t="shared" ca="1" si="7"/>
        <v>114.24400191144703</v>
      </c>
      <c r="K14" s="37">
        <f t="shared" ca="1" si="5"/>
        <v>0.26736397834663728</v>
      </c>
      <c r="L14" s="116"/>
      <c r="M14" s="10"/>
      <c r="N14" s="149"/>
      <c r="O14" s="1"/>
      <c r="P14" s="1"/>
      <c r="Q14" s="1"/>
    </row>
    <row r="15" spans="1:17" ht="17.25" x14ac:dyDescent="0.3">
      <c r="A15" s="12"/>
      <c r="B15" s="83">
        <f t="shared" ca="1" si="0"/>
        <v>6.2444444444444445</v>
      </c>
      <c r="C15" s="125">
        <f t="shared" si="6"/>
        <v>46761</v>
      </c>
      <c r="D15" s="6">
        <f>$A$20/2*(100-SUM($E$2:E14))</f>
        <v>2.3863636363636362</v>
      </c>
      <c r="E15" s="6">
        <v>4.5454545454545459</v>
      </c>
      <c r="F15" s="6">
        <f t="shared" si="1"/>
        <v>6.9318181818181817</v>
      </c>
      <c r="G15" s="37">
        <f t="shared" ca="1" si="2"/>
        <v>2.6893820280965315</v>
      </c>
      <c r="H15" s="139">
        <f t="shared" ca="1" si="3"/>
        <v>6.2211284162240935E-2</v>
      </c>
      <c r="I15" s="116">
        <f t="shared" ca="1" si="4"/>
        <v>0.38847490776866006</v>
      </c>
      <c r="J15" s="116">
        <f t="shared" ca="1" si="7"/>
        <v>121.66100250163498</v>
      </c>
      <c r="K15" s="37">
        <f t="shared" ca="1" si="5"/>
        <v>0.28594783508078309</v>
      </c>
      <c r="L15" s="116"/>
      <c r="M15" s="10"/>
      <c r="N15" s="149"/>
      <c r="O15" s="1"/>
      <c r="P15" s="1"/>
      <c r="Q15" s="1"/>
    </row>
    <row r="16" spans="1:17" ht="17.25" x14ac:dyDescent="0.3">
      <c r="A16" s="12"/>
      <c r="B16" s="83">
        <f t="shared" ca="1" si="0"/>
        <v>6.7444444444444445</v>
      </c>
      <c r="C16" s="125">
        <f t="shared" si="6"/>
        <v>46943</v>
      </c>
      <c r="D16" s="6">
        <f>$A$20/2*(100-SUM($E$2:E15))</f>
        <v>2.2727272727272729</v>
      </c>
      <c r="E16" s="6">
        <v>4.5454545454545459</v>
      </c>
      <c r="F16" s="6">
        <f t="shared" si="1"/>
        <v>6.8181818181818183</v>
      </c>
      <c r="G16" s="37">
        <f t="shared" ca="1" si="2"/>
        <v>2.4521615254707019</v>
      </c>
      <c r="H16" s="139">
        <f t="shared" ca="1" si="3"/>
        <v>5.6723855472754874E-2</v>
      </c>
      <c r="I16" s="116">
        <f t="shared" ca="1" si="4"/>
        <v>0.38257089191069121</v>
      </c>
      <c r="J16" s="116">
        <f t="shared" ca="1" si="7"/>
        <v>128.08124025118755</v>
      </c>
      <c r="K16" s="37">
        <f t="shared" ca="1" si="5"/>
        <v>0.30378099742261594</v>
      </c>
      <c r="L16" s="116"/>
      <c r="M16" s="10"/>
      <c r="N16" s="149"/>
      <c r="O16" s="1"/>
      <c r="P16" s="1"/>
      <c r="Q16" s="1"/>
    </row>
    <row r="17" spans="1:17" ht="17.25" x14ac:dyDescent="0.3">
      <c r="A17" s="12"/>
      <c r="B17" s="83">
        <f t="shared" ca="1" si="0"/>
        <v>7.2444444444444445</v>
      </c>
      <c r="C17" s="125">
        <f t="shared" si="6"/>
        <v>47127</v>
      </c>
      <c r="D17" s="6">
        <f>$A$20/2*(100-SUM($E$2:E16))</f>
        <v>2.1590909090909092</v>
      </c>
      <c r="E17" s="6">
        <v>4.5454545454545459</v>
      </c>
      <c r="F17" s="6">
        <f t="shared" si="1"/>
        <v>6.704545454545455</v>
      </c>
      <c r="G17" s="37">
        <f t="shared" ca="1" si="2"/>
        <v>2.2352442976531077</v>
      </c>
      <c r="H17" s="139">
        <f t="shared" ca="1" si="3"/>
        <v>5.1706085903960267E-2</v>
      </c>
      <c r="I17" s="116">
        <f t="shared" ca="1" si="4"/>
        <v>0.37458186677091215</v>
      </c>
      <c r="J17" s="116">
        <f t="shared" ca="1" si="7"/>
        <v>133.50313917232234</v>
      </c>
      <c r="K17" s="37">
        <f t="shared" ca="1" si="5"/>
        <v>0.32086346537213589</v>
      </c>
      <c r="L17" s="116"/>
      <c r="M17" s="10"/>
      <c r="N17" s="149"/>
      <c r="O17" s="1"/>
      <c r="P17" s="1"/>
      <c r="Q17" s="1"/>
    </row>
    <row r="18" spans="1:17" ht="17.25" x14ac:dyDescent="0.3">
      <c r="A18" s="12"/>
      <c r="B18" s="83">
        <f t="shared" ca="1" si="0"/>
        <v>7.7444444444444445</v>
      </c>
      <c r="C18" s="125">
        <f t="shared" si="6"/>
        <v>47308</v>
      </c>
      <c r="D18" s="6">
        <f>$A$20/2*(100-SUM($E$2:E17))</f>
        <v>2.0454545454545454</v>
      </c>
      <c r="E18" s="6">
        <v>4.5454545454545459</v>
      </c>
      <c r="F18" s="6">
        <f t="shared" si="1"/>
        <v>6.5909090909090917</v>
      </c>
      <c r="G18" s="37">
        <f t="shared" ca="1" si="2"/>
        <v>2.0369301562961124</v>
      </c>
      <c r="H18" s="139">
        <f t="shared" ca="1" si="3"/>
        <v>4.7118646383483176E-2</v>
      </c>
      <c r="I18" s="116">
        <f t="shared" ca="1" si="4"/>
        <v>0.36490773921430858</v>
      </c>
      <c r="J18" s="116">
        <f t="shared" ca="1" si="7"/>
        <v>137.94267049438434</v>
      </c>
      <c r="K18" s="37">
        <f t="shared" ca="1" si="5"/>
        <v>0.33719523892934306</v>
      </c>
      <c r="L18" s="116"/>
      <c r="M18" s="10"/>
      <c r="N18" s="149"/>
      <c r="O18" s="1"/>
      <c r="P18" s="1"/>
      <c r="Q18" s="1"/>
    </row>
    <row r="19" spans="1:17" ht="17.25" x14ac:dyDescent="0.3">
      <c r="A19" s="12"/>
      <c r="B19" s="83">
        <f t="shared" ca="1" si="0"/>
        <v>8.2444444444444436</v>
      </c>
      <c r="C19" s="125">
        <f t="shared" si="6"/>
        <v>47492</v>
      </c>
      <c r="D19" s="6">
        <f>$A$20/2*(100-SUM($E$2:E18))</f>
        <v>1.9318181818181817</v>
      </c>
      <c r="E19" s="6">
        <v>4.5454545454545459</v>
      </c>
      <c r="F19" s="6">
        <f t="shared" si="1"/>
        <v>6.4772727272727275</v>
      </c>
      <c r="G19" s="37">
        <f t="shared" ca="1" si="2"/>
        <v>1.8556589486549757</v>
      </c>
      <c r="H19" s="139">
        <f t="shared" ca="1" si="3"/>
        <v>4.2925447168503314E-2</v>
      </c>
      <c r="I19" s="116">
        <f t="shared" ca="1" si="4"/>
        <v>0.35389646443366063</v>
      </c>
      <c r="J19" s="116">
        <f t="shared" ca="1" si="7"/>
        <v>141.42961950598234</v>
      </c>
      <c r="K19" s="37">
        <f t="shared" ca="1" si="5"/>
        <v>0.35277631809423715</v>
      </c>
      <c r="L19" s="116"/>
      <c r="M19" s="10"/>
      <c r="N19" s="149"/>
      <c r="O19" s="1"/>
      <c r="P19" s="1"/>
      <c r="Q19" s="1"/>
    </row>
    <row r="20" spans="1:17" ht="17.25" x14ac:dyDescent="0.3">
      <c r="A20" s="12">
        <v>0.05</v>
      </c>
      <c r="B20" s="83">
        <f t="shared" ca="1" si="0"/>
        <v>8.7444444444444436</v>
      </c>
      <c r="C20" s="125">
        <f t="shared" si="6"/>
        <v>47673</v>
      </c>
      <c r="D20" s="6">
        <f>$A$20/2*(100-SUM($E$2:E19))</f>
        <v>1.8181818181818181</v>
      </c>
      <c r="E20" s="6">
        <v>4.5454545454545459</v>
      </c>
      <c r="F20" s="6">
        <f t="shared" si="1"/>
        <v>6.3636363636363642</v>
      </c>
      <c r="G20" s="37">
        <f t="shared" ca="1" si="2"/>
        <v>1.6899991723828141</v>
      </c>
      <c r="H20" s="139">
        <f t="shared" ca="1" si="3"/>
        <v>3.9093374481078184E-2</v>
      </c>
      <c r="I20" s="116">
        <f t="shared" ca="1" si="4"/>
        <v>0.34184984129565033</v>
      </c>
      <c r="J20" s="116">
        <f t="shared" ca="1" si="7"/>
        <v>144.00441219499331</v>
      </c>
      <c r="K20" s="37">
        <f t="shared" ca="1" si="5"/>
        <v>0.36760670286681846</v>
      </c>
      <c r="L20" s="116"/>
      <c r="M20" s="10"/>
      <c r="N20" s="149"/>
      <c r="O20" s="1"/>
      <c r="P20" s="1"/>
      <c r="Q20" s="1"/>
    </row>
    <row r="21" spans="1:17" ht="17.25" x14ac:dyDescent="0.3">
      <c r="A21" s="12"/>
      <c r="B21" s="83">
        <f t="shared" ca="1" si="0"/>
        <v>9.2444444444444436</v>
      </c>
      <c r="C21" s="125">
        <f t="shared" si="6"/>
        <v>47857</v>
      </c>
      <c r="D21" s="6">
        <f>$A$20/2*(100-SUM($E$2:E20))</f>
        <v>1.7045454545454544</v>
      </c>
      <c r="E21" s="6">
        <v>4.5454545454545459</v>
      </c>
      <c r="F21" s="6">
        <f t="shared" si="1"/>
        <v>6.25</v>
      </c>
      <c r="G21" s="37">
        <f t="shared" ca="1" si="2"/>
        <v>1.5386375063384585</v>
      </c>
      <c r="H21" s="139">
        <f t="shared" ca="1" si="3"/>
        <v>3.5592048332847667E-2</v>
      </c>
      <c r="I21" s="116">
        <f t="shared" ca="1" si="4"/>
        <v>0.32902871347699175</v>
      </c>
      <c r="J21" s="116">
        <f t="shared" ca="1" si="7"/>
        <v>145.71543032867365</v>
      </c>
      <c r="K21" s="37">
        <f t="shared" ca="1" si="5"/>
        <v>0.38168639324708686</v>
      </c>
      <c r="L21" s="116"/>
      <c r="M21" s="10"/>
      <c r="N21" s="149"/>
      <c r="O21" s="1"/>
      <c r="P21" s="1"/>
      <c r="Q21" s="1"/>
    </row>
    <row r="22" spans="1:17" ht="17.25" x14ac:dyDescent="0.3">
      <c r="A22" s="12"/>
      <c r="B22" s="83">
        <f t="shared" ca="1" si="0"/>
        <v>9.7444444444444436</v>
      </c>
      <c r="C22" s="125">
        <f t="shared" si="6"/>
        <v>48038</v>
      </c>
      <c r="D22" s="6">
        <f>$A$20/2*(100-SUM($E$2:E21))</f>
        <v>1.5909090909090908</v>
      </c>
      <c r="E22" s="6">
        <v>4.5454545454545459</v>
      </c>
      <c r="F22" s="6">
        <f t="shared" si="1"/>
        <v>6.1363636363636367</v>
      </c>
      <c r="G22" s="37">
        <f t="shared" ca="1" si="2"/>
        <v>1.400369184339423</v>
      </c>
      <c r="H22" s="139">
        <f t="shared" ca="1" si="3"/>
        <v>3.2393599848901201E-2</v>
      </c>
      <c r="I22" s="116">
        <f t="shared" ca="1" si="4"/>
        <v>0.3156576340831817</v>
      </c>
      <c r="J22" s="116">
        <f t="shared" ca="1" si="7"/>
        <v>146.61675186440823</v>
      </c>
      <c r="K22" s="37">
        <f t="shared" ca="1" si="5"/>
        <v>0.39501538923504242</v>
      </c>
      <c r="L22" s="116"/>
      <c r="M22" s="10"/>
      <c r="N22" s="149"/>
      <c r="O22" s="1"/>
      <c r="P22" s="1"/>
      <c r="Q22" s="1"/>
    </row>
    <row r="23" spans="1:17" ht="17.25" x14ac:dyDescent="0.3">
      <c r="A23" s="12"/>
      <c r="B23" s="83">
        <f t="shared" ca="1" si="0"/>
        <v>10.244444444444444</v>
      </c>
      <c r="C23" s="125">
        <f t="shared" si="6"/>
        <v>48222</v>
      </c>
      <c r="D23" s="6">
        <f>$A$20/2*(100-SUM($E$2:E22))</f>
        <v>1.4772727272727273</v>
      </c>
      <c r="E23" s="6">
        <v>4.5454545454545459</v>
      </c>
      <c r="F23" s="6">
        <f t="shared" si="1"/>
        <v>6.0227272727272734</v>
      </c>
      <c r="G23" s="37">
        <f t="shared" ca="1" si="2"/>
        <v>1.2740891445787903</v>
      </c>
      <c r="H23" s="139">
        <f t="shared" ca="1" si="3"/>
        <v>2.9472466534446764E-2</v>
      </c>
      <c r="I23" s="116">
        <f t="shared" ca="1" si="4"/>
        <v>0.30192904605288795</v>
      </c>
      <c r="J23" s="116">
        <f t="shared" ca="1" si="7"/>
        <v>146.76626093793385</v>
      </c>
      <c r="K23" s="37">
        <f t="shared" ca="1" si="5"/>
        <v>0.40759369083068503</v>
      </c>
      <c r="L23" s="116"/>
      <c r="M23" s="184"/>
      <c r="N23" s="184"/>
      <c r="O23" s="1"/>
      <c r="P23" s="1"/>
      <c r="Q23" s="1"/>
    </row>
    <row r="24" spans="1:17" ht="17.25" x14ac:dyDescent="0.3">
      <c r="A24" s="12"/>
      <c r="B24" s="83">
        <f t="shared" ca="1" si="0"/>
        <v>10.744444444444444</v>
      </c>
      <c r="C24" s="125">
        <f t="shared" si="6"/>
        <v>48404</v>
      </c>
      <c r="D24" s="6">
        <f>$A$20/2*(100-SUM($E$2:E23))</f>
        <v>1.3636363636363635</v>
      </c>
      <c r="E24" s="6">
        <v>4.5454545454545459</v>
      </c>
      <c r="F24" s="6">
        <f t="shared" si="1"/>
        <v>5.9090909090909092</v>
      </c>
      <c r="G24" s="37">
        <f t="shared" ca="1" si="2"/>
        <v>1.1587838927559284</v>
      </c>
      <c r="H24" s="139">
        <f t="shared" ca="1" si="3"/>
        <v>2.6805204051240591E-2</v>
      </c>
      <c r="I24" s="116">
        <f t="shared" ca="1" si="4"/>
        <v>0.28800702575055165</v>
      </c>
      <c r="J24" s="116">
        <f t="shared" ca="1" si="7"/>
        <v>146.22407823207365</v>
      </c>
      <c r="K24" s="37">
        <f t="shared" ca="1" si="5"/>
        <v>0.41942129803401473</v>
      </c>
      <c r="L24" s="116"/>
      <c r="M24" s="184"/>
      <c r="N24" s="184"/>
      <c r="O24" s="1"/>
      <c r="P24" s="1"/>
      <c r="Q24" s="1"/>
    </row>
    <row r="25" spans="1:17" ht="17.25" x14ac:dyDescent="0.3">
      <c r="A25" s="12"/>
      <c r="B25" s="83">
        <f t="shared" ca="1" si="0"/>
        <v>11.244444444444444</v>
      </c>
      <c r="C25" s="125">
        <f t="shared" si="6"/>
        <v>48588</v>
      </c>
      <c r="D25" s="6">
        <f>$A$20/2*(100-SUM($E$2:E24))</f>
        <v>1.25</v>
      </c>
      <c r="E25" s="6">
        <v>4.5454545454545459</v>
      </c>
      <c r="F25" s="6">
        <f t="shared" si="1"/>
        <v>5.7954545454545459</v>
      </c>
      <c r="G25" s="37">
        <f t="shared" ca="1" si="2"/>
        <v>1.0535240218822601</v>
      </c>
      <c r="H25" s="139">
        <f t="shared" ca="1" si="3"/>
        <v>2.437031318434605E-2</v>
      </c>
      <c r="I25" s="116">
        <f t="shared" ca="1" si="4"/>
        <v>0.27403063269509109</v>
      </c>
      <c r="J25" s="116">
        <f t="shared" ca="1" si="7"/>
        <v>145.0512683678545</v>
      </c>
      <c r="K25" s="37">
        <f t="shared" ca="1" si="5"/>
        <v>0.4304982108450317</v>
      </c>
      <c r="L25" s="116"/>
      <c r="M25" s="184"/>
      <c r="N25" s="184"/>
      <c r="O25" s="1"/>
      <c r="P25" s="1"/>
      <c r="Q25" s="1"/>
    </row>
    <row r="26" spans="1:17" ht="17.25" x14ac:dyDescent="0.3">
      <c r="A26" s="12"/>
      <c r="B26" s="83">
        <f t="shared" ca="1" si="0"/>
        <v>11.744444444444444</v>
      </c>
      <c r="C26" s="125">
        <f t="shared" si="6"/>
        <v>48769</v>
      </c>
      <c r="D26" s="6">
        <f>$A$20/2*(100-SUM($E$2:E25))</f>
        <v>1.1363636363636362</v>
      </c>
      <c r="E26" s="6">
        <v>4.5454545454545459</v>
      </c>
      <c r="F26" s="6">
        <f t="shared" si="1"/>
        <v>5.6818181818181817</v>
      </c>
      <c r="G26" s="37">
        <f t="shared" ca="1" si="2"/>
        <v>0.95745733624767393</v>
      </c>
      <c r="H26" s="139">
        <f t="shared" ca="1" si="3"/>
        <v>2.2148080784448642E-2</v>
      </c>
      <c r="I26" s="116">
        <f t="shared" ca="1" si="4"/>
        <v>0.26011690432402457</v>
      </c>
      <c r="J26" s="116">
        <f t="shared" ca="1" si="7"/>
        <v>143.30878615587883</v>
      </c>
      <c r="K26" s="37">
        <f t="shared" ca="1" si="5"/>
        <v>0.44082442926373561</v>
      </c>
      <c r="L26" s="116"/>
      <c r="M26" s="184"/>
      <c r="N26" s="184"/>
      <c r="O26" s="1"/>
      <c r="P26" s="1"/>
      <c r="Q26" s="1"/>
    </row>
    <row r="27" spans="1:17" ht="17.25" x14ac:dyDescent="0.3">
      <c r="A27" s="12"/>
      <c r="B27" s="83">
        <f t="shared" ca="1" si="0"/>
        <v>12.244444444444444</v>
      </c>
      <c r="C27" s="125">
        <f t="shared" si="6"/>
        <v>48953</v>
      </c>
      <c r="D27" s="6">
        <f>$A$20/2*(100-SUM($E$2:E26))</f>
        <v>1.0227272727272725</v>
      </c>
      <c r="E27" s="6">
        <v>4.5454545454545459</v>
      </c>
      <c r="F27" s="6">
        <f t="shared" si="1"/>
        <v>5.5681818181818183</v>
      </c>
      <c r="G27" s="37">
        <f t="shared" ca="1" si="2"/>
        <v>0.86980253120095274</v>
      </c>
      <c r="H27" s="139">
        <f t="shared" ca="1" si="3"/>
        <v>2.0120433567363993E-2</v>
      </c>
      <c r="I27" s="116">
        <f t="shared" ca="1" si="4"/>
        <v>0.24636353101372355</v>
      </c>
      <c r="J27" s="116">
        <f t="shared" ca="1" si="7"/>
        <v>141.05662816605829</v>
      </c>
      <c r="K27" s="37">
        <f t="shared" ca="1" si="5"/>
        <v>0.45039995329012666</v>
      </c>
      <c r="L27" s="116"/>
      <c r="M27" s="184"/>
      <c r="N27" s="184"/>
      <c r="O27" s="1"/>
      <c r="P27" s="1"/>
      <c r="Q27" s="1"/>
    </row>
    <row r="28" spans="1:17" ht="17.25" x14ac:dyDescent="0.3">
      <c r="A28" s="12"/>
      <c r="B28" s="83">
        <f t="shared" ca="1" si="0"/>
        <v>12.744444444444444</v>
      </c>
      <c r="C28" s="125">
        <f t="shared" si="6"/>
        <v>49134</v>
      </c>
      <c r="D28" s="6">
        <f>$A$20/2*(100-SUM($E$2:E27))</f>
        <v>0.90909090909090884</v>
      </c>
      <c r="E28" s="6">
        <v>4.5454545454545459</v>
      </c>
      <c r="F28" s="6">
        <f t="shared" si="1"/>
        <v>5.454545454545455</v>
      </c>
      <c r="G28" s="37">
        <f t="shared" ca="1" si="2"/>
        <v>0.78984338423669709</v>
      </c>
      <c r="H28" s="139">
        <f t="shared" ca="1" si="3"/>
        <v>1.8270803741182548E-2</v>
      </c>
      <c r="I28" s="116">
        <f t="shared" ca="1" si="4"/>
        <v>0.23285124323484868</v>
      </c>
      <c r="J28" s="116">
        <f t="shared" ca="1" si="7"/>
        <v>138.35316017864332</v>
      </c>
      <c r="K28" s="37">
        <f t="shared" ca="1" si="5"/>
        <v>0.45922478292420488</v>
      </c>
      <c r="L28" s="116"/>
      <c r="M28" s="1"/>
      <c r="N28" s="1"/>
      <c r="O28" s="1"/>
      <c r="P28" s="1"/>
      <c r="Q28" s="1"/>
    </row>
    <row r="29" spans="1:17" ht="17.25" x14ac:dyDescent="0.3">
      <c r="A29" s="12"/>
      <c r="B29" s="83">
        <f t="shared" ca="1" si="0"/>
        <v>13.244444444444444</v>
      </c>
      <c r="C29" s="125">
        <f t="shared" si="6"/>
        <v>49318</v>
      </c>
      <c r="D29" s="6">
        <f>$A$20/2*(100-SUM($E$2:E28))</f>
        <v>0.79545454545454541</v>
      </c>
      <c r="E29" s="6">
        <v>4.5454545454545459</v>
      </c>
      <c r="F29" s="6">
        <f t="shared" si="1"/>
        <v>5.3409090909090917</v>
      </c>
      <c r="G29" s="37">
        <f t="shared" ca="1" si="2"/>
        <v>0.71692341641747714</v>
      </c>
      <c r="H29" s="139">
        <f t="shared" ca="1" si="3"/>
        <v>1.6584005513296075E-2</v>
      </c>
      <c r="I29" s="116">
        <f t="shared" ca="1" si="4"/>
        <v>0.21964593968721022</v>
      </c>
      <c r="J29" s="116">
        <f t="shared" ca="1" si="7"/>
        <v>135.25459472319369</v>
      </c>
      <c r="K29" s="37">
        <f t="shared" ca="1" si="5"/>
        <v>0.46729891816597025</v>
      </c>
      <c r="L29" s="116"/>
      <c r="M29" s="1"/>
      <c r="N29" s="1"/>
      <c r="O29" s="1"/>
      <c r="P29" s="1"/>
      <c r="Q29" s="1"/>
    </row>
    <row r="30" spans="1:17" ht="17.25" x14ac:dyDescent="0.3">
      <c r="A30" s="12"/>
      <c r="B30" s="83">
        <f t="shared" ca="1" si="0"/>
        <v>13.744444444444444</v>
      </c>
      <c r="C30" s="125">
        <f t="shared" si="6"/>
        <v>49499</v>
      </c>
      <c r="D30" s="6">
        <f>$A$20/2*(100-SUM($E$2:E29))</f>
        <v>0.68181818181818166</v>
      </c>
      <c r="E30" s="6">
        <v>4.5454545454545459</v>
      </c>
      <c r="F30" s="6">
        <f t="shared" si="1"/>
        <v>5.2272727272727275</v>
      </c>
      <c r="G30" s="37">
        <f t="shared" ca="1" si="2"/>
        <v>0.65044098641706183</v>
      </c>
      <c r="H30" s="139">
        <f t="shared" ca="1" si="3"/>
        <v>1.5046121604895213E-2</v>
      </c>
      <c r="I30" s="116">
        <f t="shared" ca="1" si="4"/>
        <v>0.20680058250283753</v>
      </c>
      <c r="J30" s="116">
        <f t="shared" ca="1" si="7"/>
        <v>131.81459614353341</v>
      </c>
      <c r="K30" s="37">
        <f t="shared" ca="1" si="5"/>
        <v>0.4746223590154226</v>
      </c>
      <c r="L30" s="116"/>
      <c r="M30" s="1"/>
      <c r="N30" s="1"/>
      <c r="O30" s="1"/>
      <c r="P30" s="1"/>
      <c r="Q30" s="1"/>
    </row>
    <row r="31" spans="1:17" ht="17.25" x14ac:dyDescent="0.3">
      <c r="A31" s="12"/>
      <c r="B31" s="83">
        <f t="shared" ca="1" si="0"/>
        <v>14.244444444444444</v>
      </c>
      <c r="C31" s="125">
        <f t="shared" si="6"/>
        <v>49683</v>
      </c>
      <c r="D31" s="6">
        <f>$A$20/2*(100-SUM($E$2:E30))</f>
        <v>0.56818181818181801</v>
      </c>
      <c r="E31" s="6">
        <v>4.5454545454545459</v>
      </c>
      <c r="F31" s="6">
        <f t="shared" si="1"/>
        <v>5.1136363636363642</v>
      </c>
      <c r="G31" s="37">
        <f t="shared" ca="1" si="2"/>
        <v>0.58984478247049088</v>
      </c>
      <c r="H31" s="139">
        <f t="shared" ca="1" si="3"/>
        <v>1.3644398969921942E-2</v>
      </c>
      <c r="I31" s="116">
        <f t="shared" ca="1" si="4"/>
        <v>0.19435688310488808</v>
      </c>
      <c r="J31" s="116">
        <f t="shared" ca="1" si="7"/>
        <v>128.08399348968842</v>
      </c>
      <c r="K31" s="37">
        <f t="shared" ca="1" si="5"/>
        <v>0.48119510547256211</v>
      </c>
      <c r="L31" s="116"/>
      <c r="M31" s="1"/>
      <c r="N31" s="1"/>
      <c r="O31" s="1"/>
      <c r="P31" s="1"/>
      <c r="Q31" s="1"/>
    </row>
    <row r="32" spans="1:17" ht="17.25" x14ac:dyDescent="0.3">
      <c r="A32" s="12"/>
      <c r="B32" s="83">
        <f t="shared" ca="1" si="0"/>
        <v>14.744444444444444</v>
      </c>
      <c r="C32" s="125">
        <f t="shared" si="6"/>
        <v>49865</v>
      </c>
      <c r="D32" s="6">
        <f>$A$20/2*(100-SUM($E$2:E31))</f>
        <v>0.45454545454545436</v>
      </c>
      <c r="E32" s="6">
        <v>4.5454545454545459</v>
      </c>
      <c r="F32" s="6">
        <f t="shared" si="1"/>
        <v>5</v>
      </c>
      <c r="G32" s="37">
        <f t="shared" ca="1" si="2"/>
        <v>0.53462968027966051</v>
      </c>
      <c r="H32" s="139">
        <f t="shared" ca="1" si="3"/>
        <v>1.236715297937291E-2</v>
      </c>
      <c r="I32" s="116">
        <f t="shared" ca="1" si="4"/>
        <v>0.18234680004030945</v>
      </c>
      <c r="J32" s="116">
        <f t="shared" ca="1" si="7"/>
        <v>124.11058407172617</v>
      </c>
      <c r="K32" s="37">
        <f t="shared" ca="1" si="5"/>
        <v>0.48701715753738872</v>
      </c>
      <c r="L32" s="116"/>
      <c r="M32" s="1"/>
      <c r="N32" s="1"/>
      <c r="O32" s="1"/>
      <c r="P32" s="1"/>
      <c r="Q32" s="1"/>
    </row>
    <row r="33" spans="1:17" ht="17.25" x14ac:dyDescent="0.3">
      <c r="A33" s="12"/>
      <c r="B33" s="83">
        <f t="shared" ca="1" si="0"/>
        <v>15.244444444444444</v>
      </c>
      <c r="C33" s="125">
        <f t="shared" si="6"/>
        <v>50049</v>
      </c>
      <c r="D33" s="6">
        <f>$A$20/2*(100-SUM($E$2:E32))</f>
        <v>0.34090909090909066</v>
      </c>
      <c r="E33" s="6">
        <v>4.5454545454545459</v>
      </c>
      <c r="F33" s="6">
        <f t="shared" si="1"/>
        <v>4.8863636363636367</v>
      </c>
      <c r="G33" s="37">
        <f t="shared" ca="1" si="2"/>
        <v>0.48433293746759609</v>
      </c>
      <c r="H33" s="139">
        <f ca="1">+G33/$G$36</f>
        <v>1.1203679390709449E-2</v>
      </c>
      <c r="I33" s="116">
        <f t="shared" ca="1" si="4"/>
        <v>0.17079386804503735</v>
      </c>
      <c r="J33" s="116">
        <f t="shared" ca="1" si="7"/>
        <v>119.93901275067927</v>
      </c>
      <c r="K33" s="37">
        <f t="shared" ca="1" si="5"/>
        <v>0.49208851520990249</v>
      </c>
      <c r="L33" s="116"/>
      <c r="M33" s="1"/>
      <c r="N33" s="1"/>
      <c r="O33" s="1"/>
      <c r="P33" s="1"/>
      <c r="Q33" s="1"/>
    </row>
    <row r="34" spans="1:17" ht="17.25" x14ac:dyDescent="0.3">
      <c r="A34" s="12"/>
      <c r="B34" s="83">
        <f t="shared" ca="1" si="0"/>
        <v>15.744444444444444</v>
      </c>
      <c r="C34" s="125">
        <f t="shared" si="6"/>
        <v>50230</v>
      </c>
      <c r="D34" s="6">
        <f>$A$20/2*(100-SUM($E$2:E33))</f>
        <v>0.22727272727272699</v>
      </c>
      <c r="E34" s="6">
        <v>4.5454545454545459</v>
      </c>
      <c r="F34" s="6">
        <f t="shared" si="1"/>
        <v>4.7727272727272725</v>
      </c>
      <c r="G34" s="37">
        <f t="shared" ca="1" si="2"/>
        <v>0.43853069751785528</v>
      </c>
      <c r="H34" s="139">
        <f t="shared" ca="1" si="3"/>
        <v>1.0144173476335058E-2</v>
      </c>
      <c r="I34" s="116">
        <f t="shared" ca="1" si="4"/>
        <v>0.15971437573296418</v>
      </c>
      <c r="J34" s="116">
        <f t="shared" ca="1" si="7"/>
        <v>115.61071402010876</v>
      </c>
      <c r="K34" s="37">
        <f t="shared" ca="1" si="5"/>
        <v>0.49640917849010335</v>
      </c>
      <c r="L34" s="116"/>
      <c r="M34" s="1"/>
      <c r="N34" s="1"/>
      <c r="O34" s="1"/>
      <c r="P34" s="1"/>
      <c r="Q34" s="1"/>
    </row>
    <row r="35" spans="1:17" ht="18" thickBot="1" x14ac:dyDescent="0.35">
      <c r="A35" s="13"/>
      <c r="B35" s="91">
        <f t="shared" ca="1" si="0"/>
        <v>16.244444444444444</v>
      </c>
      <c r="C35" s="126">
        <f t="shared" si="6"/>
        <v>50414</v>
      </c>
      <c r="D35" s="14">
        <f>$A$20/2*(100-SUM($E$2:E34))</f>
        <v>0.11363636363636331</v>
      </c>
      <c r="E35" s="14">
        <v>4.5454545454545459</v>
      </c>
      <c r="F35" s="14">
        <f t="shared" si="1"/>
        <v>4.6590909090909092</v>
      </c>
      <c r="G35" s="44">
        <f t="shared" ca="1" si="2"/>
        <v>0.39683477829337144</v>
      </c>
      <c r="H35" s="140">
        <f ca="1">+G35/$G$36</f>
        <v>9.179655735017311E-3</v>
      </c>
      <c r="I35" s="99">
        <f t="shared" ca="1" si="4"/>
        <v>0.14911840760661454</v>
      </c>
      <c r="J35" s="99">
        <f t="shared" ca="1" si="7"/>
        <v>111.16390567683194</v>
      </c>
      <c r="K35" s="44">
        <f t="shared" ca="1" si="5"/>
        <v>0.49997914737799132</v>
      </c>
      <c r="L35" s="116"/>
      <c r="M35" s="1"/>
      <c r="N35" s="1"/>
      <c r="O35" s="1"/>
      <c r="P35" s="1"/>
      <c r="Q35" s="1"/>
    </row>
    <row r="36" spans="1:17" ht="18" thickTop="1" x14ac:dyDescent="0.25">
      <c r="D36" s="15"/>
      <c r="E36" s="16"/>
      <c r="F36" s="120">
        <f>SUM(F3:F35)</f>
        <v>151.375</v>
      </c>
      <c r="G36" s="120">
        <f ca="1">SUM(G3:G35)</f>
        <v>43.229810545027277</v>
      </c>
      <c r="H36" s="87">
        <f ca="1">SUM(H3:H35)</f>
        <v>1.0000000000000002</v>
      </c>
      <c r="I36" s="117">
        <f ca="1">SUM(I3:I35)</f>
        <v>7.060390790463476</v>
      </c>
      <c r="J36" s="117">
        <f ca="1">SUM(J3:J35)/((1+O4)^2)</f>
        <v>2306.8224872602918</v>
      </c>
      <c r="K36" s="195">
        <f ca="1">SUM(K3:K35)</f>
        <v>9.4841223965501413</v>
      </c>
      <c r="L36" s="116"/>
      <c r="M36" s="1"/>
      <c r="N36" s="1"/>
      <c r="O36" s="1"/>
      <c r="P36" s="1"/>
      <c r="Q36" s="1"/>
    </row>
    <row r="37" spans="1:17" ht="21.75" customHeight="1" x14ac:dyDescent="0.25">
      <c r="D37" s="17"/>
      <c r="L37" s="176"/>
      <c r="M37" s="1"/>
      <c r="N37" s="1"/>
    </row>
    <row r="38" spans="1:17" x14ac:dyDescent="0.25">
      <c r="E38" s="18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Q3" sqref="Q3:Q4"/>
    </sheetView>
  </sheetViews>
  <sheetFormatPr baseColWidth="10" defaultRowHeight="15" x14ac:dyDescent="0.25"/>
  <cols>
    <col min="1" max="1" width="19" customWidth="1"/>
    <col min="2" max="2" width="17.28515625" customWidth="1"/>
    <col min="3" max="3" width="17.28515625" style="2" customWidth="1"/>
    <col min="4" max="7" width="17.28515625" customWidth="1"/>
    <col min="8" max="8" width="18.140625" customWidth="1"/>
    <col min="9" max="9" width="17.28515625" customWidth="1"/>
    <col min="10" max="10" width="11.42578125" customWidth="1"/>
    <col min="11" max="11" width="13.7109375" customWidth="1"/>
    <col min="12" max="12" width="9.42578125" customWidth="1"/>
    <col min="13" max="13" width="18.5703125" customWidth="1"/>
    <col min="15" max="15" width="4.7109375" customWidth="1"/>
    <col min="16" max="16" width="19.42578125" customWidth="1"/>
    <col min="17" max="17" width="17.28515625" customWidth="1"/>
  </cols>
  <sheetData>
    <row r="1" spans="1:17" ht="32.25" customHeight="1" thickBot="1" x14ac:dyDescent="0.35">
      <c r="A1" s="3" t="s">
        <v>6</v>
      </c>
      <c r="B1" s="92" t="s">
        <v>17</v>
      </c>
      <c r="C1" s="97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16</v>
      </c>
      <c r="I1" s="93" t="s">
        <v>15</v>
      </c>
      <c r="J1" s="93" t="s">
        <v>34</v>
      </c>
      <c r="K1" s="93" t="s">
        <v>37</v>
      </c>
      <c r="L1" s="156"/>
      <c r="M1" s="1"/>
      <c r="N1" s="1"/>
      <c r="O1" s="1"/>
      <c r="P1" s="1"/>
      <c r="Q1" s="1"/>
    </row>
    <row r="2" spans="1:17" ht="17.25" customHeight="1" thickBot="1" x14ac:dyDescent="0.3">
      <c r="A2" s="4" t="s">
        <v>5</v>
      </c>
      <c r="B2" s="32"/>
      <c r="C2" s="32">
        <f ca="1">WORKDAY(TODAY(),2)</f>
        <v>44480</v>
      </c>
      <c r="D2" s="5"/>
      <c r="E2" s="5"/>
      <c r="F2" s="177">
        <v>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8" thickBot="1" x14ac:dyDescent="0.35">
      <c r="A3" s="20"/>
      <c r="B3" s="83">
        <f t="shared" ref="B3:B42" ca="1" si="0">DAYS360($C$2,C3)/360</f>
        <v>0.24444444444444444</v>
      </c>
      <c r="C3" s="130">
        <v>44570</v>
      </c>
      <c r="D3" s="19">
        <v>1.25</v>
      </c>
      <c r="E3" s="19"/>
      <c r="F3" s="19">
        <f t="shared" ref="F3:F42" si="1">+D3+E3</f>
        <v>1.25</v>
      </c>
      <c r="G3" s="19">
        <f t="shared" ref="G3:G42" ca="1" si="2">F3/((1+$O$4)^(B3))</f>
        <v>1.20874741607808</v>
      </c>
      <c r="H3" s="139">
        <f t="shared" ref="H3:H42" ca="1" si="3">+G3/$G$43</f>
        <v>2.9641028262288035E-2</v>
      </c>
      <c r="I3" s="116">
        <f t="shared" ref="I3:I42" ca="1" si="4">+H3*B3</f>
        <v>7.2455846863370751E-3</v>
      </c>
      <c r="J3" s="172">
        <f ca="1">G3*B3*(B3+1)</f>
        <v>0.36769797940943078</v>
      </c>
      <c r="K3" s="37">
        <f t="shared" ref="K3:K42" ca="1" si="5">(B3*F3)/$F$43</f>
        <v>2.0004806349577494E-3</v>
      </c>
      <c r="L3" s="172"/>
      <c r="M3" s="96" t="s">
        <v>29</v>
      </c>
      <c r="N3" s="152">
        <f ca="1">'Curva de rendimientos'!B6</f>
        <v>40.749999343786456</v>
      </c>
      <c r="O3" s="1"/>
      <c r="P3" s="96" t="s">
        <v>30</v>
      </c>
      <c r="Q3" s="159">
        <v>44386</v>
      </c>
    </row>
    <row r="4" spans="1:17" ht="18" customHeight="1" thickBot="1" x14ac:dyDescent="0.3">
      <c r="A4" s="20">
        <v>2.5000000000000001E-2</v>
      </c>
      <c r="B4" s="83">
        <f t="shared" ca="1" si="0"/>
        <v>0.74444444444444446</v>
      </c>
      <c r="C4" s="130">
        <f t="shared" ref="C4:C42" si="6">EDATE(C3,6)</f>
        <v>44751</v>
      </c>
      <c r="D4" s="19">
        <f>$A$4/2*(100-SUM($E$2:E3))</f>
        <v>1.25</v>
      </c>
      <c r="E4" s="19"/>
      <c r="F4" s="19">
        <f t="shared" si="1"/>
        <v>1.25</v>
      </c>
      <c r="G4" s="19">
        <f t="shared" ca="1" si="2"/>
        <v>1.1285587567609849</v>
      </c>
      <c r="H4" s="139">
        <f t="shared" ca="1" si="3"/>
        <v>2.7674633724010515E-2</v>
      </c>
      <c r="I4" s="116">
        <f t="shared" ca="1" si="4"/>
        <v>2.0602227327874496E-2</v>
      </c>
      <c r="J4" s="172">
        <f t="shared" ref="J4:J42" ca="1" si="7">G4*B4*(B4+1)</f>
        <v>1.4655937731319508</v>
      </c>
      <c r="K4" s="37">
        <f t="shared" ca="1" si="5"/>
        <v>6.0923728428258746E-3</v>
      </c>
      <c r="L4" s="172"/>
      <c r="M4" s="96" t="s">
        <v>13</v>
      </c>
      <c r="N4" s="192">
        <f>'Curva de rendimientos'!H6</f>
        <v>0.14210808048176471</v>
      </c>
      <c r="O4" s="202">
        <f>(1+N4/2)^2-1</f>
        <v>0.1471567571163177</v>
      </c>
      <c r="P4" s="96" t="s">
        <v>31</v>
      </c>
      <c r="Q4" s="148">
        <f ca="1">D3/180*DAYS360(Q3,C2)</f>
        <v>0.63888888888888884</v>
      </c>
    </row>
    <row r="5" spans="1:17" ht="18" thickBot="1" x14ac:dyDescent="0.35">
      <c r="A5" s="21"/>
      <c r="B5" s="83">
        <f t="shared" ca="1" si="0"/>
        <v>1.2444444444444445</v>
      </c>
      <c r="C5" s="131">
        <f t="shared" si="6"/>
        <v>44935</v>
      </c>
      <c r="D5" s="19">
        <f>$A$15/2*(100-SUM($E$2:E4))</f>
        <v>1.7500000000000002</v>
      </c>
      <c r="E5" s="19"/>
      <c r="F5" s="19">
        <f t="shared" si="1"/>
        <v>1.7500000000000002</v>
      </c>
      <c r="G5" s="19">
        <f t="shared" ca="1" si="2"/>
        <v>1.475165771383522</v>
      </c>
      <c r="H5" s="139">
        <f t="shared" ca="1" si="3"/>
        <v>3.6174166529357385E-2</v>
      </c>
      <c r="I5" s="116">
        <f t="shared" ca="1" si="4"/>
        <v>4.5016740569866966E-2</v>
      </c>
      <c r="J5" s="172">
        <f t="shared" ca="1" si="7"/>
        <v>4.1202654829359018</v>
      </c>
      <c r="K5" s="37">
        <f t="shared" ca="1" si="5"/>
        <v>1.42579710709716E-2</v>
      </c>
      <c r="L5" s="172"/>
      <c r="M5" s="96" t="s">
        <v>11</v>
      </c>
      <c r="N5" s="142">
        <f ca="1">I43</f>
        <v>7.9875343728549915</v>
      </c>
      <c r="O5" s="1"/>
      <c r="P5" s="96" t="s">
        <v>33</v>
      </c>
      <c r="Q5" s="147">
        <f ca="1">(100-SUM(E2:E2))+Q4</f>
        <v>100.63888888888889</v>
      </c>
    </row>
    <row r="6" spans="1:17" ht="18" thickBot="1" x14ac:dyDescent="0.35">
      <c r="A6" s="21"/>
      <c r="B6" s="83">
        <f t="shared" ca="1" si="0"/>
        <v>1.7444444444444445</v>
      </c>
      <c r="C6" s="131">
        <f t="shared" si="6"/>
        <v>45116</v>
      </c>
      <c r="D6" s="19">
        <f>$A$15/2*(100-SUM($E$2:E5))</f>
        <v>1.7500000000000002</v>
      </c>
      <c r="E6" s="19"/>
      <c r="F6" s="19">
        <f t="shared" si="1"/>
        <v>1.7500000000000002</v>
      </c>
      <c r="G6" s="19">
        <f t="shared" ca="1" si="2"/>
        <v>1.3773028399685172</v>
      </c>
      <c r="H6" s="139">
        <f t="shared" ca="1" si="3"/>
        <v>3.3774361675739287E-2</v>
      </c>
      <c r="I6" s="116">
        <f t="shared" ca="1" si="4"/>
        <v>5.8917497589900759E-2</v>
      </c>
      <c r="J6" s="172">
        <f t="shared" ca="1" si="7"/>
        <v>6.5938798556961888</v>
      </c>
      <c r="K6" s="37">
        <f t="shared" ca="1" si="5"/>
        <v>1.9986620161986973E-2</v>
      </c>
      <c r="L6" s="172"/>
      <c r="M6" s="96" t="s">
        <v>12</v>
      </c>
      <c r="N6" s="143">
        <f ca="1">N5/(1+N4/2)</f>
        <v>7.4576389918276931</v>
      </c>
      <c r="O6" s="1"/>
      <c r="P6" s="96" t="s">
        <v>32</v>
      </c>
      <c r="Q6" s="160">
        <f ca="1">N3/Q5</f>
        <v>0.40491304895840807</v>
      </c>
    </row>
    <row r="7" spans="1:17" ht="18" thickBot="1" x14ac:dyDescent="0.35">
      <c r="A7" s="21"/>
      <c r="B7" s="83">
        <f t="shared" ca="1" si="0"/>
        <v>2.2444444444444445</v>
      </c>
      <c r="C7" s="131">
        <f t="shared" si="6"/>
        <v>45300</v>
      </c>
      <c r="D7" s="19">
        <f>$A$15/2*(100-SUM($E$2:E6))</f>
        <v>1.7500000000000002</v>
      </c>
      <c r="E7" s="19"/>
      <c r="F7" s="19">
        <f t="shared" si="1"/>
        <v>1.7500000000000002</v>
      </c>
      <c r="G7" s="19">
        <f t="shared" ca="1" si="2"/>
        <v>1.2859321642246537</v>
      </c>
      <c r="H7" s="139">
        <f t="shared" ca="1" si="3"/>
        <v>3.1533760582373005E-2</v>
      </c>
      <c r="I7" s="116">
        <f t="shared" ca="1" si="4"/>
        <v>7.0775773751548296E-2</v>
      </c>
      <c r="J7" s="172">
        <f t="shared" ca="1" si="7"/>
        <v>9.3641262684724662</v>
      </c>
      <c r="K7" s="37">
        <f t="shared" ca="1" si="5"/>
        <v>2.5715269253002351E-2</v>
      </c>
      <c r="L7" s="172"/>
      <c r="M7" s="96" t="s">
        <v>35</v>
      </c>
      <c r="N7" s="143">
        <f ca="1">J43/N3</f>
        <v>71.82053449025176</v>
      </c>
      <c r="O7" s="1"/>
      <c r="P7" s="1"/>
      <c r="Q7" s="1"/>
    </row>
    <row r="8" spans="1:17" ht="18" thickBot="1" x14ac:dyDescent="0.35">
      <c r="A8" s="21"/>
      <c r="B8" s="83">
        <f t="shared" ca="1" si="0"/>
        <v>2.7444444444444445</v>
      </c>
      <c r="C8" s="131">
        <f t="shared" si="6"/>
        <v>45482</v>
      </c>
      <c r="D8" s="19">
        <f>$A$15/2*(100-SUM($E$2:E7))</f>
        <v>1.7500000000000002</v>
      </c>
      <c r="E8" s="19"/>
      <c r="F8" s="19">
        <f t="shared" si="1"/>
        <v>1.7500000000000002</v>
      </c>
      <c r="G8" s="19">
        <f t="shared" ca="1" si="2"/>
        <v>1.2006230460000364</v>
      </c>
      <c r="H8" s="139">
        <f t="shared" ca="1" si="3"/>
        <v>2.9441801624949752E-2</v>
      </c>
      <c r="I8" s="116">
        <f t="shared" ca="1" si="4"/>
        <v>8.080138890402877E-2</v>
      </c>
      <c r="J8" s="172">
        <f t="shared" ca="1" si="7"/>
        <v>12.33810638592556</v>
      </c>
      <c r="K8" s="37">
        <f t="shared" ca="1" si="5"/>
        <v>3.1443918344017725E-2</v>
      </c>
      <c r="L8" s="172"/>
      <c r="M8" s="96" t="s">
        <v>38</v>
      </c>
      <c r="N8" s="143">
        <f ca="1">K43</f>
        <v>11.283405103823645</v>
      </c>
      <c r="O8" s="1"/>
      <c r="P8" s="1"/>
      <c r="Q8" s="1"/>
    </row>
    <row r="9" spans="1:17" ht="17.25" x14ac:dyDescent="0.3">
      <c r="A9" s="21"/>
      <c r="B9" s="83">
        <f t="shared" ca="1" si="0"/>
        <v>3.2444444444444445</v>
      </c>
      <c r="C9" s="131">
        <f>EDATE(C8,6)</f>
        <v>45666</v>
      </c>
      <c r="D9" s="19">
        <f>$A$15/2*(100-SUM($E$2:E8))</f>
        <v>1.7500000000000002</v>
      </c>
      <c r="E9" s="19"/>
      <c r="F9" s="19">
        <f t="shared" si="1"/>
        <v>1.7500000000000002</v>
      </c>
      <c r="G9" s="19">
        <f t="shared" ca="1" si="2"/>
        <v>1.1209733597849214</v>
      </c>
      <c r="H9" s="139">
        <f t="shared" ca="1" si="3"/>
        <v>2.7488623840425663E-2</v>
      </c>
      <c r="I9" s="116">
        <f t="shared" ca="1" si="4"/>
        <v>8.9185312904492151E-2</v>
      </c>
      <c r="J9" s="172">
        <f t="shared" ca="1" si="7"/>
        <v>15.43677190664806</v>
      </c>
      <c r="K9" s="37">
        <f t="shared" ca="1" si="5"/>
        <v>3.7172567435033103E-2</v>
      </c>
      <c r="L9" s="172"/>
      <c r="M9" s="189"/>
      <c r="N9" s="190"/>
      <c r="O9" s="1"/>
      <c r="P9" s="1"/>
      <c r="Q9" s="1"/>
    </row>
    <row r="10" spans="1:17" ht="15.75" x14ac:dyDescent="0.25">
      <c r="A10" s="21"/>
      <c r="B10" s="83">
        <f t="shared" ca="1" si="0"/>
        <v>3.7444444444444445</v>
      </c>
      <c r="C10" s="131">
        <f t="shared" si="6"/>
        <v>45847</v>
      </c>
      <c r="D10" s="19">
        <f>$A$15/2*(100-SUM($E$2:E9))</f>
        <v>1.7500000000000002</v>
      </c>
      <c r="E10" s="19"/>
      <c r="F10" s="19">
        <f t="shared" si="1"/>
        <v>1.7500000000000002</v>
      </c>
      <c r="G10" s="19">
        <f t="shared" ca="1" si="2"/>
        <v>1.0466076571942273</v>
      </c>
      <c r="H10" s="139">
        <f t="shared" ca="1" si="3"/>
        <v>2.5665020444947315E-2</v>
      </c>
      <c r="I10" s="116">
        <f t="shared" ca="1" si="4"/>
        <v>9.610124322163606E-2</v>
      </c>
      <c r="J10" s="172">
        <f t="shared" ca="1" si="7"/>
        <v>18.593308057110139</v>
      </c>
      <c r="K10" s="37">
        <f t="shared" ca="1" si="5"/>
        <v>4.2901216526048475E-2</v>
      </c>
      <c r="L10" s="172"/>
      <c r="M10" s="10"/>
      <c r="N10" s="149"/>
      <c r="O10" s="1"/>
      <c r="P10" s="1"/>
      <c r="Q10" s="1"/>
    </row>
    <row r="11" spans="1:17" ht="15.75" x14ac:dyDescent="0.25">
      <c r="A11" s="21"/>
      <c r="B11" s="83">
        <f t="shared" ca="1" si="0"/>
        <v>4.2444444444444445</v>
      </c>
      <c r="C11" s="131">
        <f t="shared" si="6"/>
        <v>46031</v>
      </c>
      <c r="D11" s="19">
        <f>$A$15/2*(100-SUM($E$2:E10))</f>
        <v>1.7500000000000002</v>
      </c>
      <c r="E11" s="19"/>
      <c r="F11" s="19">
        <f t="shared" si="1"/>
        <v>1.7500000000000002</v>
      </c>
      <c r="G11" s="19">
        <f t="shared" ca="1" si="2"/>
        <v>0.97717539719923274</v>
      </c>
      <c r="H11" s="139">
        <f t="shared" ca="1" si="3"/>
        <v>2.3962395435411638E-2</v>
      </c>
      <c r="I11" s="116">
        <f t="shared" ca="1" si="4"/>
        <v>0.10170705618141385</v>
      </c>
      <c r="J11" s="172">
        <f t="shared" ca="1" si="7"/>
        <v>21.751683063779069</v>
      </c>
      <c r="K11" s="37">
        <f t="shared" ca="1" si="5"/>
        <v>4.8629865617063853E-2</v>
      </c>
      <c r="L11" s="172"/>
      <c r="M11" s="10"/>
      <c r="N11" s="149"/>
      <c r="O11" s="1"/>
      <c r="P11" s="1"/>
      <c r="Q11" s="1"/>
    </row>
    <row r="12" spans="1:17" ht="15.75" x14ac:dyDescent="0.25">
      <c r="A12" s="21"/>
      <c r="B12" s="83">
        <f t="shared" ca="1" si="0"/>
        <v>4.7444444444444445</v>
      </c>
      <c r="C12" s="131">
        <f>EDATE(C11,6)</f>
        <v>46212</v>
      </c>
      <c r="D12" s="19">
        <f>$A$15/2*(100-SUM($E$2:E11))</f>
        <v>1.7500000000000002</v>
      </c>
      <c r="E12" s="19"/>
      <c r="F12" s="19">
        <f t="shared" si="1"/>
        <v>1.7500000000000002</v>
      </c>
      <c r="G12" s="19">
        <f t="shared" ca="1" si="2"/>
        <v>0.91234929376622664</v>
      </c>
      <c r="H12" s="139">
        <f t="shared" ca="1" si="3"/>
        <v>2.2372723070091256E-2</v>
      </c>
      <c r="I12" s="116">
        <f t="shared" ca="1" si="4"/>
        <v>0.10614614167698852</v>
      </c>
      <c r="J12" s="172">
        <f t="shared" ca="1" si="7"/>
        <v>24.865347869449188</v>
      </c>
      <c r="K12" s="37">
        <f t="shared" ca="1" si="5"/>
        <v>5.4358514708079224E-2</v>
      </c>
      <c r="L12" s="172"/>
      <c r="M12" s="10"/>
      <c r="N12" s="149"/>
      <c r="O12" s="1"/>
      <c r="P12" s="1"/>
      <c r="Q12" s="1"/>
    </row>
    <row r="13" spans="1:17" ht="15.75" x14ac:dyDescent="0.25">
      <c r="A13" s="21"/>
      <c r="B13" s="83">
        <f t="shared" ca="1" si="0"/>
        <v>5.2444444444444445</v>
      </c>
      <c r="C13" s="131">
        <f t="shared" si="6"/>
        <v>46396</v>
      </c>
      <c r="D13" s="19">
        <f>$A$15/2*(100-SUM($E$2:E12))</f>
        <v>1.7500000000000002</v>
      </c>
      <c r="E13" s="19"/>
      <c r="F13" s="19">
        <f t="shared" si="1"/>
        <v>1.7500000000000002</v>
      </c>
      <c r="G13" s="19">
        <f t="shared" ca="1" si="2"/>
        <v>0.85182377311329438</v>
      </c>
      <c r="H13" s="139">
        <f t="shared" ca="1" si="3"/>
        <v>2.088851003732695E-2</v>
      </c>
      <c r="I13" s="116">
        <f t="shared" ca="1" si="4"/>
        <v>0.10954863041798134</v>
      </c>
      <c r="J13" s="172">
        <f t="shared" ca="1" si="7"/>
        <v>27.89607177174382</v>
      </c>
      <c r="K13" s="37">
        <f t="shared" ca="1" si="5"/>
        <v>6.0087163799094602E-2</v>
      </c>
      <c r="L13" s="172"/>
      <c r="M13" s="10"/>
      <c r="N13" s="149"/>
      <c r="O13" s="1"/>
      <c r="P13" s="1"/>
      <c r="Q13" s="1"/>
    </row>
    <row r="14" spans="1:17" ht="15.75" x14ac:dyDescent="0.25">
      <c r="A14" s="21"/>
      <c r="B14" s="83">
        <f t="shared" ca="1" si="0"/>
        <v>5.7444444444444445</v>
      </c>
      <c r="C14" s="131">
        <f>EDATE(C13,6)</f>
        <v>46577</v>
      </c>
      <c r="D14" s="19">
        <f>$A$15/2*(100-SUM($E$2:E13))</f>
        <v>1.7500000000000002</v>
      </c>
      <c r="E14" s="19"/>
      <c r="F14" s="19">
        <f t="shared" si="1"/>
        <v>1.7500000000000002</v>
      </c>
      <c r="G14" s="19">
        <f t="shared" ca="1" si="2"/>
        <v>0.79531353331314392</v>
      </c>
      <c r="H14" s="139">
        <f t="shared" ca="1" si="3"/>
        <v>1.950276013396026E-2</v>
      </c>
      <c r="I14" s="116">
        <f t="shared" ca="1" si="4"/>
        <v>0.1120325221028606</v>
      </c>
      <c r="J14" s="172">
        <f t="shared" ca="1" si="7"/>
        <v>30.812900951950308</v>
      </c>
      <c r="K14" s="37">
        <f t="shared" ca="1" si="5"/>
        <v>6.5815812890109973E-2</v>
      </c>
      <c r="L14" s="172"/>
      <c r="M14" s="10"/>
      <c r="N14" s="149"/>
      <c r="O14" s="1"/>
      <c r="P14" s="1"/>
      <c r="Q14" s="1"/>
    </row>
    <row r="15" spans="1:17" ht="15.75" x14ac:dyDescent="0.25">
      <c r="A15" s="21">
        <v>3.5000000000000003E-2</v>
      </c>
      <c r="B15" s="83">
        <f t="shared" ca="1" si="0"/>
        <v>6.2444444444444445</v>
      </c>
      <c r="C15" s="131">
        <f t="shared" si="6"/>
        <v>46761</v>
      </c>
      <c r="D15" s="19">
        <f>$A$15/2*(100-SUM($E$2:E14))</f>
        <v>1.7500000000000002</v>
      </c>
      <c r="E15" s="19">
        <f>100/28</f>
        <v>3.5714285714285716</v>
      </c>
      <c r="F15" s="19">
        <f t="shared" si="1"/>
        <v>5.3214285714285721</v>
      </c>
      <c r="G15" s="19">
        <f t="shared" ca="1" si="2"/>
        <v>2.2579648513957822</v>
      </c>
      <c r="H15" s="139">
        <f t="shared" ca="1" si="3"/>
        <v>5.5370045954375044E-2</v>
      </c>
      <c r="I15" s="116">
        <f t="shared" ca="1" si="4"/>
        <v>0.34575517584843085</v>
      </c>
      <c r="J15" s="172">
        <f t="shared" ca="1" si="7"/>
        <v>102.14475465528989</v>
      </c>
      <c r="K15" s="37">
        <f t="shared" ca="1" si="5"/>
        <v>0.21755356806505463</v>
      </c>
      <c r="L15" s="172"/>
      <c r="M15" s="10"/>
      <c r="N15" s="149"/>
      <c r="O15" s="1"/>
      <c r="P15" s="1"/>
      <c r="Q15" s="1"/>
    </row>
    <row r="16" spans="1:17" ht="15.75" x14ac:dyDescent="0.25">
      <c r="A16" s="22"/>
      <c r="B16" s="83">
        <f t="shared" ca="1" si="0"/>
        <v>6.7444444444444445</v>
      </c>
      <c r="C16" s="131">
        <f t="shared" si="6"/>
        <v>46943</v>
      </c>
      <c r="D16" s="19">
        <f>$A$15/2*(100-SUM($E$2:E15))</f>
        <v>1.6875000000000002</v>
      </c>
      <c r="E16" s="19">
        <f t="shared" ref="E16:E42" si="8">100/28</f>
        <v>3.5714285714285716</v>
      </c>
      <c r="F16" s="19">
        <f t="shared" si="1"/>
        <v>5.2589285714285721</v>
      </c>
      <c r="G16" s="19">
        <f t="shared" ca="1" si="2"/>
        <v>2.0834104033489425</v>
      </c>
      <c r="H16" s="139">
        <f t="shared" ca="1" si="3"/>
        <v>5.108960385452592E-2</v>
      </c>
      <c r="I16" s="116">
        <f t="shared" ca="1" si="4"/>
        <v>0.34457099488552484</v>
      </c>
      <c r="J16" s="172">
        <f t="shared" ca="1" si="7"/>
        <v>108.82064074548978</v>
      </c>
      <c r="K16" s="37">
        <f t="shared" ca="1" si="5"/>
        <v>0.23221358378311677</v>
      </c>
      <c r="L16" s="172"/>
      <c r="M16" s="10"/>
      <c r="N16" s="149"/>
      <c r="O16" s="164"/>
      <c r="P16" s="1"/>
      <c r="Q16" s="1"/>
    </row>
    <row r="17" spans="1:17" ht="15.75" x14ac:dyDescent="0.25">
      <c r="A17" s="23"/>
      <c r="B17" s="83">
        <f t="shared" ca="1" si="0"/>
        <v>7.2444444444444445</v>
      </c>
      <c r="C17" s="131">
        <f t="shared" si="6"/>
        <v>47127</v>
      </c>
      <c r="D17" s="19">
        <f>$A$15/2*(100-SUM($E$2:E16))</f>
        <v>1.6250000000000002</v>
      </c>
      <c r="E17" s="19">
        <f t="shared" si="8"/>
        <v>3.5714285714285716</v>
      </c>
      <c r="F17" s="19">
        <f t="shared" si="1"/>
        <v>5.1964285714285721</v>
      </c>
      <c r="G17" s="19">
        <f t="shared" ca="1" si="2"/>
        <v>1.9220785606671791</v>
      </c>
      <c r="H17" s="139">
        <f t="shared" ca="1" si="3"/>
        <v>4.7133407841257045E-2</v>
      </c>
      <c r="I17" s="116">
        <f t="shared" ca="1" si="4"/>
        <v>0.34145535458332882</v>
      </c>
      <c r="J17" s="172">
        <f t="shared" ca="1" si="7"/>
        <v>114.7988709128161</v>
      </c>
      <c r="K17" s="37">
        <f t="shared" ca="1" si="5"/>
        <v>0.24646441028039209</v>
      </c>
      <c r="L17" s="172"/>
      <c r="M17" s="10"/>
      <c r="N17" s="149"/>
      <c r="O17" s="1"/>
      <c r="P17" s="1"/>
      <c r="Q17" s="1"/>
    </row>
    <row r="18" spans="1:17" ht="15.75" x14ac:dyDescent="0.25">
      <c r="A18" s="23"/>
      <c r="B18" s="83">
        <f t="shared" ca="1" si="0"/>
        <v>7.7444444444444445</v>
      </c>
      <c r="C18" s="131">
        <f t="shared" si="6"/>
        <v>47308</v>
      </c>
      <c r="D18" s="19">
        <f>$A$15/2*(100-SUM($E$2:E17))</f>
        <v>1.5625</v>
      </c>
      <c r="E18" s="19">
        <f t="shared" si="8"/>
        <v>3.5714285714285716</v>
      </c>
      <c r="F18" s="19">
        <f t="shared" si="1"/>
        <v>5.1339285714285712</v>
      </c>
      <c r="G18" s="19">
        <f t="shared" ca="1" si="2"/>
        <v>1.7729831604616102</v>
      </c>
      <c r="H18" s="139">
        <f t="shared" ca="1" si="3"/>
        <v>4.3477275126939045E-2</v>
      </c>
      <c r="I18" s="116">
        <f t="shared" ca="1" si="4"/>
        <v>0.33670734181640571</v>
      </c>
      <c r="J18" s="172">
        <f t="shared" ca="1" si="7"/>
        <v>120.06795183412977</v>
      </c>
      <c r="K18" s="37">
        <f t="shared" ca="1" si="5"/>
        <v>0.26030604755688058</v>
      </c>
      <c r="L18" s="172"/>
      <c r="M18" s="10"/>
      <c r="N18" s="149"/>
      <c r="O18" s="1"/>
      <c r="P18" s="1"/>
      <c r="Q18" s="1"/>
    </row>
    <row r="19" spans="1:17" ht="15.75" x14ac:dyDescent="0.25">
      <c r="A19" s="24"/>
      <c r="B19" s="83">
        <f t="shared" ca="1" si="0"/>
        <v>8.2444444444444436</v>
      </c>
      <c r="C19" s="130">
        <f t="shared" si="6"/>
        <v>47492</v>
      </c>
      <c r="D19" s="19">
        <f>$A$24/2*(100-SUM($E$2:E18))</f>
        <v>2.0892857142857144</v>
      </c>
      <c r="E19" s="19">
        <f t="shared" si="8"/>
        <v>3.5714285714285716</v>
      </c>
      <c r="F19" s="19">
        <f t="shared" si="1"/>
        <v>5.6607142857142865</v>
      </c>
      <c r="G19" s="19">
        <f t="shared" ca="1" si="2"/>
        <v>1.82521756748164</v>
      </c>
      <c r="H19" s="139">
        <f t="shared" ca="1" si="3"/>
        <v>4.4758172619790065E-2</v>
      </c>
      <c r="I19" s="116">
        <f t="shared" ca="1" si="4"/>
        <v>0.36900626759871363</v>
      </c>
      <c r="J19" s="172">
        <f t="shared" ca="1" si="7"/>
        <v>139.10952024436855</v>
      </c>
      <c r="K19" s="37">
        <f t="shared" ca="1" si="5"/>
        <v>0.30554613770841049</v>
      </c>
      <c r="L19" s="172"/>
      <c r="M19" s="10"/>
      <c r="N19" s="149"/>
      <c r="O19" s="1"/>
      <c r="P19" s="1"/>
      <c r="Q19" s="1"/>
    </row>
    <row r="20" spans="1:17" ht="15.75" x14ac:dyDescent="0.25">
      <c r="A20" s="24"/>
      <c r="B20" s="83">
        <f t="shared" ca="1" si="0"/>
        <v>8.7444444444444436</v>
      </c>
      <c r="C20" s="130">
        <f t="shared" si="6"/>
        <v>47673</v>
      </c>
      <c r="D20" s="19">
        <f>$A$24/2*(100-SUM($E$2:E19))</f>
        <v>2.0022321428571428</v>
      </c>
      <c r="E20" s="19">
        <f t="shared" si="8"/>
        <v>3.5714285714285716</v>
      </c>
      <c r="F20" s="19">
        <f t="shared" si="1"/>
        <v>5.5736607142857144</v>
      </c>
      <c r="G20" s="19">
        <f t="shared" ca="1" si="2"/>
        <v>1.677925018116067</v>
      </c>
      <c r="H20" s="139">
        <f t="shared" ca="1" si="3"/>
        <v>4.1146249598903638E-2</v>
      </c>
      <c r="I20" s="116">
        <f t="shared" ca="1" si="4"/>
        <v>0.35980109371485736</v>
      </c>
      <c r="J20" s="172">
        <f t="shared" ca="1" si="7"/>
        <v>142.97557649119642</v>
      </c>
      <c r="K20" s="37">
        <f t="shared" ca="1" si="5"/>
        <v>0.31909273656657766</v>
      </c>
      <c r="L20" s="172"/>
      <c r="M20" s="10"/>
      <c r="N20" s="149"/>
      <c r="O20" s="1"/>
      <c r="P20" s="1"/>
      <c r="Q20" s="1"/>
    </row>
    <row r="21" spans="1:17" ht="15.75" x14ac:dyDescent="0.25">
      <c r="A21" s="24"/>
      <c r="B21" s="83">
        <f t="shared" ca="1" si="0"/>
        <v>9.2444444444444436</v>
      </c>
      <c r="C21" s="130">
        <f t="shared" si="6"/>
        <v>47857</v>
      </c>
      <c r="D21" s="19">
        <f>$A$24/2*(100-SUM($E$2:E20))</f>
        <v>1.9151785714285714</v>
      </c>
      <c r="E21" s="19">
        <f t="shared" si="8"/>
        <v>3.5714285714285716</v>
      </c>
      <c r="F21" s="19">
        <f t="shared" si="1"/>
        <v>5.4866071428571432</v>
      </c>
      <c r="G21" s="19">
        <f t="shared" ca="1" si="2"/>
        <v>1.5421424851424386</v>
      </c>
      <c r="H21" s="139">
        <f t="shared" ca="1" si="3"/>
        <v>3.7816576381934051E-2</v>
      </c>
      <c r="I21" s="116">
        <f t="shared" ca="1" si="4"/>
        <v>0.3495932394418792</v>
      </c>
      <c r="J21" s="172">
        <f t="shared" ca="1" si="7"/>
        <v>146.04736653366729</v>
      </c>
      <c r="K21" s="37">
        <f t="shared" ca="1" si="5"/>
        <v>0.33206939329579188</v>
      </c>
      <c r="L21" s="172"/>
      <c r="M21" s="10"/>
      <c r="N21" s="149"/>
      <c r="O21" s="1"/>
      <c r="P21" s="1"/>
      <c r="Q21" s="1"/>
    </row>
    <row r="22" spans="1:17" ht="15.75" x14ac:dyDescent="0.25">
      <c r="A22" s="24"/>
      <c r="B22" s="83">
        <f t="shared" ca="1" si="0"/>
        <v>9.7444444444444436</v>
      </c>
      <c r="C22" s="130">
        <f t="shared" si="6"/>
        <v>48038</v>
      </c>
      <c r="D22" s="19">
        <f>$A$24/2*(100-SUM($E$2:E21))</f>
        <v>1.828125</v>
      </c>
      <c r="E22" s="19">
        <f t="shared" si="8"/>
        <v>3.5714285714285716</v>
      </c>
      <c r="F22" s="19">
        <f t="shared" si="1"/>
        <v>5.3995535714285712</v>
      </c>
      <c r="G22" s="19">
        <f t="shared" ca="1" si="2"/>
        <v>1.4169910524241973</v>
      </c>
      <c r="H22" s="139">
        <f t="shared" ca="1" si="3"/>
        <v>3.4747600097125506E-2</v>
      </c>
      <c r="I22" s="116">
        <f t="shared" ca="1" si="4"/>
        <v>0.33859605872421183</v>
      </c>
      <c r="J22" s="172">
        <f t="shared" ca="1" si="7"/>
        <v>148.35703887997681</v>
      </c>
      <c r="K22" s="37">
        <f t="shared" ca="1" si="5"/>
        <v>0.34447610789605293</v>
      </c>
      <c r="L22" s="172"/>
      <c r="M22" s="10"/>
      <c r="N22" s="149"/>
      <c r="O22" s="1"/>
      <c r="P22" s="1"/>
      <c r="Q22" s="1"/>
    </row>
    <row r="23" spans="1:17" ht="15.75" x14ac:dyDescent="0.25">
      <c r="A23" s="24"/>
      <c r="B23" s="83">
        <f t="shared" ca="1" si="0"/>
        <v>10.244444444444444</v>
      </c>
      <c r="C23" s="130">
        <f t="shared" si="6"/>
        <v>48222</v>
      </c>
      <c r="D23" s="19">
        <f>$A$24/2*(100-SUM($E$2:E22))</f>
        <v>1.7410714285714284</v>
      </c>
      <c r="E23" s="19">
        <f t="shared" si="8"/>
        <v>3.5714285714285716</v>
      </c>
      <c r="F23" s="19">
        <f t="shared" si="1"/>
        <v>5.3125</v>
      </c>
      <c r="G23" s="19">
        <f t="shared" ca="1" si="2"/>
        <v>1.3016577629541777</v>
      </c>
      <c r="H23" s="139">
        <f t="shared" ca="1" si="3"/>
        <v>3.1919385329266456E-2</v>
      </c>
      <c r="I23" s="116">
        <f t="shared" ca="1" si="4"/>
        <v>0.32699636970648521</v>
      </c>
      <c r="J23" s="172">
        <f t="shared" ca="1" si="7"/>
        <v>149.94197517692305</v>
      </c>
      <c r="K23" s="37">
        <f t="shared" ca="1" si="5"/>
        <v>0.35631288036736097</v>
      </c>
      <c r="L23" s="172"/>
      <c r="M23" s="184"/>
      <c r="N23" s="184"/>
      <c r="O23" s="1"/>
      <c r="P23" s="1"/>
      <c r="Q23" s="1"/>
    </row>
    <row r="24" spans="1:17" ht="15.75" x14ac:dyDescent="0.25">
      <c r="A24" s="25">
        <v>4.8750000000000002E-2</v>
      </c>
      <c r="B24" s="83">
        <f t="shared" ca="1" si="0"/>
        <v>10.744444444444444</v>
      </c>
      <c r="C24" s="130">
        <f t="shared" si="6"/>
        <v>48404</v>
      </c>
      <c r="D24" s="19">
        <f>$A$24/2*(100-SUM($E$2:E23))</f>
        <v>1.6540178571428572</v>
      </c>
      <c r="E24" s="19">
        <f t="shared" si="8"/>
        <v>3.5714285714285716</v>
      </c>
      <c r="F24" s="19">
        <f t="shared" si="1"/>
        <v>5.2254464285714288</v>
      </c>
      <c r="G24" s="19">
        <f t="shared" ca="1" si="2"/>
        <v>1.1953907354988613</v>
      </c>
      <c r="H24" s="139">
        <f t="shared" ca="1" si="3"/>
        <v>2.9313494369538517E-2</v>
      </c>
      <c r="I24" s="116">
        <f t="shared" ca="1" si="4"/>
        <v>0.31495721172604157</v>
      </c>
      <c r="J24" s="172">
        <f t="shared" ca="1" si="7"/>
        <v>150.84340533053833</v>
      </c>
      <c r="K24" s="37">
        <f t="shared" ca="1" si="5"/>
        <v>0.36757971070971601</v>
      </c>
      <c r="L24" s="172"/>
      <c r="M24" s="1"/>
      <c r="N24" s="1"/>
      <c r="O24" s="1"/>
      <c r="P24" s="1"/>
      <c r="Q24" s="1"/>
    </row>
    <row r="25" spans="1:17" ht="15.75" x14ac:dyDescent="0.25">
      <c r="A25" s="24"/>
      <c r="B25" s="83">
        <f t="shared" ca="1" si="0"/>
        <v>11.244444444444444</v>
      </c>
      <c r="C25" s="130">
        <f t="shared" si="6"/>
        <v>48588</v>
      </c>
      <c r="D25" s="19">
        <f>$A$24/2*(100-SUM($E$2:E24))</f>
        <v>1.5669642857142856</v>
      </c>
      <c r="E25" s="19">
        <f t="shared" si="8"/>
        <v>3.5714285714285716</v>
      </c>
      <c r="F25" s="19">
        <f t="shared" si="1"/>
        <v>5.1383928571428577</v>
      </c>
      <c r="G25" s="19">
        <f t="shared" ca="1" si="2"/>
        <v>1.0974946388807396</v>
      </c>
      <c r="H25" s="139">
        <f t="shared" ca="1" si="3"/>
        <v>2.6912876235403879E-2</v>
      </c>
      <c r="I25" s="116">
        <f t="shared" ca="1" si="4"/>
        <v>0.30262034166920804</v>
      </c>
      <c r="J25" s="172">
        <f t="shared" ca="1" si="7"/>
        <v>151.10522977174492</v>
      </c>
      <c r="K25" s="37">
        <f t="shared" ca="1" si="5"/>
        <v>0.37827659892311793</v>
      </c>
      <c r="L25" s="172"/>
      <c r="M25" s="1"/>
      <c r="N25" s="1"/>
      <c r="O25" s="1"/>
      <c r="P25" s="1"/>
      <c r="Q25" s="1"/>
    </row>
    <row r="26" spans="1:17" ht="15.75" x14ac:dyDescent="0.25">
      <c r="A26" s="24"/>
      <c r="B26" s="83">
        <f t="shared" ca="1" si="0"/>
        <v>11.744444444444444</v>
      </c>
      <c r="C26" s="130">
        <f t="shared" si="6"/>
        <v>48769</v>
      </c>
      <c r="D26" s="19">
        <f>$A$24/2*(100-SUM($E$2:E25))</f>
        <v>1.4799107142857144</v>
      </c>
      <c r="E26" s="19">
        <f t="shared" si="8"/>
        <v>3.5714285714285716</v>
      </c>
      <c r="F26" s="19">
        <f t="shared" si="1"/>
        <v>5.0513392857142865</v>
      </c>
      <c r="G26" s="19">
        <f t="shared" ca="1" si="2"/>
        <v>1.007326497938954</v>
      </c>
      <c r="H26" s="139">
        <f t="shared" ca="1" si="3"/>
        <v>2.4701763823941406E-2</v>
      </c>
      <c r="I26" s="116">
        <f t="shared" ca="1" si="4"/>
        <v>0.29010849291006741</v>
      </c>
      <c r="J26" s="172">
        <f t="shared" ca="1" si="7"/>
        <v>150.7730237339174</v>
      </c>
      <c r="K26" s="37">
        <f t="shared" ca="1" si="5"/>
        <v>0.38840354500756685</v>
      </c>
      <c r="L26" s="172"/>
      <c r="M26" s="1"/>
      <c r="N26" s="1"/>
      <c r="O26" s="1"/>
      <c r="P26" s="1"/>
      <c r="Q26" s="1"/>
    </row>
    <row r="27" spans="1:17" ht="15.75" x14ac:dyDescent="0.25">
      <c r="A27" s="24"/>
      <c r="B27" s="83">
        <f t="shared" ca="1" si="0"/>
        <v>12.244444444444444</v>
      </c>
      <c r="C27" s="130">
        <f t="shared" si="6"/>
        <v>48953</v>
      </c>
      <c r="D27" s="19">
        <f>$A$24/2*(100-SUM($E$2:E26))</f>
        <v>1.392857142857143</v>
      </c>
      <c r="E27" s="19">
        <f t="shared" si="8"/>
        <v>3.5714285714285716</v>
      </c>
      <c r="F27" s="19">
        <f t="shared" si="1"/>
        <v>4.9642857142857144</v>
      </c>
      <c r="G27" s="19">
        <f t="shared" ca="1" si="2"/>
        <v>0.92429180707879455</v>
      </c>
      <c r="H27" s="139">
        <f t="shared" ca="1" si="3"/>
        <v>2.2665578607908354E-2</v>
      </c>
      <c r="I27" s="116">
        <f t="shared" ca="1" si="4"/>
        <v>0.27752741806572229</v>
      </c>
      <c r="J27" s="172">
        <f t="shared" ca="1" si="7"/>
        <v>149.89320112466555</v>
      </c>
      <c r="K27" s="37">
        <f t="shared" ca="1" si="5"/>
        <v>0.39796054896306254</v>
      </c>
      <c r="L27" s="172"/>
      <c r="M27" s="1"/>
      <c r="N27" s="1"/>
      <c r="O27" s="1"/>
      <c r="P27" s="1"/>
      <c r="Q27" s="1"/>
    </row>
    <row r="28" spans="1:17" ht="15.75" x14ac:dyDescent="0.25">
      <c r="A28" s="24"/>
      <c r="B28" s="83">
        <f t="shared" ca="1" si="0"/>
        <v>12.744444444444444</v>
      </c>
      <c r="C28" s="130">
        <f t="shared" si="6"/>
        <v>49134</v>
      </c>
      <c r="D28" s="19">
        <f>$A$24/2*(100-SUM($E$2:E27))</f>
        <v>1.3058035714285716</v>
      </c>
      <c r="E28" s="19">
        <f t="shared" si="8"/>
        <v>3.5714285714285716</v>
      </c>
      <c r="F28" s="19">
        <f t="shared" si="1"/>
        <v>4.8772321428571432</v>
      </c>
      <c r="G28" s="19">
        <f t="shared" ca="1" si="2"/>
        <v>0.84784092905709618</v>
      </c>
      <c r="H28" s="139">
        <f t="shared" ca="1" si="3"/>
        <v>2.0790842326386064E-2</v>
      </c>
      <c r="I28" s="116">
        <f t="shared" ca="1" si="4"/>
        <v>0.26496773498183129</v>
      </c>
      <c r="J28" s="172">
        <f t="shared" ca="1" si="7"/>
        <v>148.51231801758533</v>
      </c>
      <c r="K28" s="37">
        <f t="shared" ca="1" si="5"/>
        <v>0.40694761078960534</v>
      </c>
      <c r="L28" s="172"/>
      <c r="M28" s="1"/>
      <c r="N28" s="1"/>
      <c r="O28" s="1"/>
      <c r="P28" s="1"/>
      <c r="Q28" s="1"/>
    </row>
    <row r="29" spans="1:17" ht="15.75" x14ac:dyDescent="0.25">
      <c r="A29" s="24"/>
      <c r="B29" s="83">
        <f t="shared" ca="1" si="0"/>
        <v>13.244444444444444</v>
      </c>
      <c r="C29" s="130">
        <f t="shared" si="6"/>
        <v>49318</v>
      </c>
      <c r="D29" s="19">
        <f>$A$24/2*(100-SUM($E$2:E28))</f>
        <v>1.2187500000000002</v>
      </c>
      <c r="E29" s="19">
        <f t="shared" si="8"/>
        <v>3.5714285714285716</v>
      </c>
      <c r="F29" s="19">
        <f t="shared" si="1"/>
        <v>4.7901785714285721</v>
      </c>
      <c r="G29" s="19">
        <f t="shared" ca="1" si="2"/>
        <v>0.77746575826266506</v>
      </c>
      <c r="H29" s="139">
        <f t="shared" ca="1" si="3"/>
        <v>1.9065095161399915E-2</v>
      </c>
      <c r="I29" s="116">
        <f t="shared" ca="1" si="4"/>
        <v>0.25250659369320777</v>
      </c>
      <c r="J29" s="172">
        <f t="shared" ca="1" si="7"/>
        <v>146.67649798698048</v>
      </c>
      <c r="K29" s="37">
        <f t="shared" ca="1" si="5"/>
        <v>0.41536473048719502</v>
      </c>
      <c r="L29" s="172"/>
      <c r="M29" s="1"/>
      <c r="N29" s="1"/>
      <c r="O29" s="1"/>
      <c r="P29" s="1"/>
      <c r="Q29" s="1"/>
    </row>
    <row r="30" spans="1:17" ht="15.75" x14ac:dyDescent="0.25">
      <c r="A30" s="24"/>
      <c r="B30" s="83">
        <f t="shared" ca="1" si="0"/>
        <v>13.744444444444444</v>
      </c>
      <c r="C30" s="130">
        <f t="shared" si="6"/>
        <v>49499</v>
      </c>
      <c r="D30" s="19">
        <f>$A$24/2*(100-SUM($E$2:E29))</f>
        <v>1.1316964285714288</v>
      </c>
      <c r="E30" s="19">
        <f t="shared" si="8"/>
        <v>3.5714285714285716</v>
      </c>
      <c r="F30" s="19">
        <f t="shared" si="1"/>
        <v>4.703125</v>
      </c>
      <c r="G30" s="19">
        <f t="shared" ca="1" si="2"/>
        <v>0.71269662924745492</v>
      </c>
      <c r="H30" s="139">
        <f t="shared" ca="1" si="3"/>
        <v>1.7476819928603379E-2</v>
      </c>
      <c r="I30" s="116">
        <f t="shared" ca="1" si="4"/>
        <v>0.24020918057424864</v>
      </c>
      <c r="J30" s="172">
        <f t="shared" ca="1" si="7"/>
        <v>144.43096348309479</v>
      </c>
      <c r="K30" s="37">
        <f t="shared" ca="1" si="5"/>
        <v>0.42321190805583159</v>
      </c>
      <c r="L30" s="172"/>
      <c r="M30" s="1"/>
      <c r="N30" s="1"/>
      <c r="O30" s="1"/>
      <c r="P30" s="1"/>
      <c r="Q30" s="1"/>
    </row>
    <row r="31" spans="1:17" ht="15.75" x14ac:dyDescent="0.25">
      <c r="A31" s="24"/>
      <c r="B31" s="83">
        <f t="shared" ca="1" si="0"/>
        <v>14.244444444444444</v>
      </c>
      <c r="C31" s="130">
        <f t="shared" si="6"/>
        <v>49683</v>
      </c>
      <c r="D31" s="19">
        <f>$A$24/2*(100-SUM($E$2:E30))</f>
        <v>1.0446428571428574</v>
      </c>
      <c r="E31" s="19">
        <f t="shared" si="8"/>
        <v>3.5714285714285716</v>
      </c>
      <c r="F31" s="19">
        <f t="shared" si="1"/>
        <v>4.6160714285714288</v>
      </c>
      <c r="G31" s="19">
        <f t="shared" ca="1" si="2"/>
        <v>0.65309945265349434</v>
      </c>
      <c r="H31" s="139">
        <f t="shared" ca="1" si="3"/>
        <v>1.6015371844184022E-2</v>
      </c>
      <c r="I31" s="116">
        <f t="shared" ca="1" si="4"/>
        <v>0.22813007449159906</v>
      </c>
      <c r="J31" s="172">
        <f t="shared" ca="1" si="7"/>
        <v>141.81965921852367</v>
      </c>
      <c r="K31" s="37">
        <f t="shared" ca="1" si="5"/>
        <v>0.43048914349551515</v>
      </c>
      <c r="L31" s="172"/>
      <c r="M31" s="1"/>
      <c r="N31" s="1"/>
      <c r="O31" s="1"/>
      <c r="P31" s="1"/>
      <c r="Q31" s="1"/>
    </row>
    <row r="32" spans="1:17" ht="15.75" x14ac:dyDescent="0.25">
      <c r="A32" s="24"/>
      <c r="B32" s="83">
        <f t="shared" ca="1" si="0"/>
        <v>14.744444444444444</v>
      </c>
      <c r="C32" s="130">
        <f t="shared" si="6"/>
        <v>49865</v>
      </c>
      <c r="D32" s="19">
        <f>$A$24/2*(100-SUM($E$2:E31))</f>
        <v>0.95758928571428603</v>
      </c>
      <c r="E32" s="19">
        <f t="shared" si="8"/>
        <v>3.5714285714285716</v>
      </c>
      <c r="F32" s="19">
        <f t="shared" si="1"/>
        <v>4.5290178571428577</v>
      </c>
      <c r="G32" s="19">
        <f t="shared" ca="1" si="2"/>
        <v>0.5982730619702249</v>
      </c>
      <c r="H32" s="139">
        <f t="shared" ca="1" si="3"/>
        <v>1.4670913461774493E-2</v>
      </c>
      <c r="I32" s="116">
        <f t="shared" ca="1" si="4"/>
        <v>0.21631446848638611</v>
      </c>
      <c r="J32" s="172">
        <f t="shared" ca="1" si="7"/>
        <v>138.88495512756418</v>
      </c>
      <c r="K32" s="37">
        <f t="shared" ca="1" si="5"/>
        <v>0.43719643680624576</v>
      </c>
      <c r="L32" s="172"/>
      <c r="M32" s="1"/>
      <c r="N32" s="1"/>
      <c r="O32" s="1"/>
      <c r="P32" s="1"/>
      <c r="Q32" s="1"/>
    </row>
    <row r="33" spans="1:17" ht="15.75" x14ac:dyDescent="0.25">
      <c r="A33" s="24"/>
      <c r="B33" s="83">
        <f t="shared" ca="1" si="0"/>
        <v>15.244444444444444</v>
      </c>
      <c r="C33" s="130">
        <f t="shared" si="6"/>
        <v>50049</v>
      </c>
      <c r="D33" s="19">
        <f>$A$24/2*(100-SUM($E$2:E32))</f>
        <v>0.87053571428571452</v>
      </c>
      <c r="E33" s="19">
        <f t="shared" si="8"/>
        <v>3.5714285714285716</v>
      </c>
      <c r="F33" s="19">
        <f t="shared" si="1"/>
        <v>4.4419642857142865</v>
      </c>
      <c r="G33" s="19">
        <f t="shared" ca="1" si="2"/>
        <v>0.54784675575403341</v>
      </c>
      <c r="H33" s="139">
        <f t="shared" ca="1" si="3"/>
        <v>1.3434354402507497E-2</v>
      </c>
      <c r="I33" s="116">
        <f t="shared" ca="1" si="4"/>
        <v>0.20479926933600318</v>
      </c>
      <c r="J33" s="172">
        <f t="shared" ca="1" si="7"/>
        <v>135.66741788688992</v>
      </c>
      <c r="K33" s="37">
        <f t="shared" ca="1" si="5"/>
        <v>0.4433337879880232</v>
      </c>
      <c r="L33" s="172"/>
      <c r="M33" s="1"/>
      <c r="N33" s="1"/>
      <c r="O33" s="1"/>
      <c r="P33" s="1"/>
      <c r="Q33" s="1"/>
    </row>
    <row r="34" spans="1:17" ht="15.75" x14ac:dyDescent="0.25">
      <c r="A34" s="24"/>
      <c r="B34" s="83">
        <f t="shared" ca="1" si="0"/>
        <v>15.744444444444444</v>
      </c>
      <c r="C34" s="130">
        <f t="shared" si="6"/>
        <v>50230</v>
      </c>
      <c r="D34" s="19">
        <f>$A$24/2*(100-SUM($E$2:E33))</f>
        <v>0.78348214285714313</v>
      </c>
      <c r="E34" s="19">
        <f t="shared" si="8"/>
        <v>3.5714285714285716</v>
      </c>
      <c r="F34" s="19">
        <f t="shared" si="1"/>
        <v>4.3549107142857144</v>
      </c>
      <c r="G34" s="19">
        <f t="shared" ca="1" si="2"/>
        <v>0.50147802105294892</v>
      </c>
      <c r="H34" s="139">
        <f t="shared" ca="1" si="3"/>
        <v>1.2297295528602446E-2</v>
      </c>
      <c r="I34" s="116">
        <f t="shared" ca="1" si="4"/>
        <v>0.19361408626699628</v>
      </c>
      <c r="J34" s="172">
        <f t="shared" ca="1" si="7"/>
        <v>132.20564126405765</v>
      </c>
      <c r="K34" s="37">
        <f t="shared" ca="1" si="5"/>
        <v>0.44890119704084747</v>
      </c>
      <c r="L34" s="172"/>
      <c r="M34" s="1"/>
      <c r="N34" s="1"/>
      <c r="O34" s="1"/>
      <c r="P34" s="1"/>
      <c r="Q34" s="1"/>
    </row>
    <row r="35" spans="1:17" ht="15.75" x14ac:dyDescent="0.25">
      <c r="A35" s="24"/>
      <c r="B35" s="83">
        <f t="shared" ca="1" si="0"/>
        <v>16.244444444444444</v>
      </c>
      <c r="C35" s="130">
        <f t="shared" si="6"/>
        <v>50414</v>
      </c>
      <c r="D35" s="19">
        <f>$A$24/2*(100-SUM($E$2:E34))</f>
        <v>0.69642857142857173</v>
      </c>
      <c r="E35" s="19">
        <f t="shared" si="8"/>
        <v>3.5714285714285716</v>
      </c>
      <c r="F35" s="19">
        <f t="shared" si="1"/>
        <v>4.2678571428571432</v>
      </c>
      <c r="G35" s="19">
        <f t="shared" ca="1" si="2"/>
        <v>0.45885042481087951</v>
      </c>
      <c r="H35" s="139">
        <f t="shared" ca="1" si="3"/>
        <v>1.125197723616362E-2</v>
      </c>
      <c r="I35" s="116">
        <f t="shared" ca="1" si="4"/>
        <v>0.18278211910301345</v>
      </c>
      <c r="J35" s="172">
        <f t="shared" ca="1" si="7"/>
        <v>128.53612670445443</v>
      </c>
      <c r="K35" s="37">
        <f t="shared" ca="1" si="5"/>
        <v>0.45389866396471884</v>
      </c>
      <c r="L35" s="172"/>
      <c r="M35" s="1"/>
      <c r="N35" s="1"/>
      <c r="O35" s="1"/>
      <c r="P35" s="1"/>
      <c r="Q35" s="1"/>
    </row>
    <row r="36" spans="1:17" ht="15.75" x14ac:dyDescent="0.25">
      <c r="A36" s="24"/>
      <c r="B36" s="83">
        <f t="shared" ca="1" si="0"/>
        <v>16.744444444444444</v>
      </c>
      <c r="C36" s="130">
        <f t="shared" si="6"/>
        <v>50595</v>
      </c>
      <c r="D36" s="19">
        <f>$A$24/2*(100-SUM($E$2:E35))</f>
        <v>0.60937500000000033</v>
      </c>
      <c r="E36" s="19">
        <f t="shared" si="8"/>
        <v>3.5714285714285716</v>
      </c>
      <c r="F36" s="19">
        <f t="shared" si="1"/>
        <v>4.1808035714285721</v>
      </c>
      <c r="G36" s="19">
        <f t="shared" ca="1" si="2"/>
        <v>0.41967166098304309</v>
      </c>
      <c r="H36" s="139">
        <f t="shared" ca="1" si="3"/>
        <v>1.0291231566344216E-2</v>
      </c>
      <c r="I36" s="116">
        <f t="shared" ca="1" si="4"/>
        <v>0.17232095522756369</v>
      </c>
      <c r="J36" s="172">
        <f t="shared" ca="1" si="7"/>
        <v>124.69320659049495</v>
      </c>
      <c r="K36" s="37">
        <f t="shared" ca="1" si="5"/>
        <v>0.45832618875963715</v>
      </c>
      <c r="L36" s="172"/>
      <c r="M36" s="1"/>
      <c r="N36" s="1"/>
      <c r="O36" s="1"/>
      <c r="P36" s="1"/>
      <c r="Q36" s="1"/>
    </row>
    <row r="37" spans="1:17" ht="15.75" x14ac:dyDescent="0.25">
      <c r="A37" s="24"/>
      <c r="B37" s="83">
        <f t="shared" ca="1" si="0"/>
        <v>17.244444444444444</v>
      </c>
      <c r="C37" s="130">
        <f t="shared" si="6"/>
        <v>50779</v>
      </c>
      <c r="D37" s="19">
        <f>$A$24/2*(100-SUM($E$2:E36))</f>
        <v>0.52232142857142894</v>
      </c>
      <c r="E37" s="19">
        <f t="shared" si="8"/>
        <v>3.5714285714285716</v>
      </c>
      <c r="F37" s="19">
        <f t="shared" si="1"/>
        <v>4.0937500000000009</v>
      </c>
      <c r="G37" s="19">
        <f t="shared" ca="1" si="2"/>
        <v>0.38367174198275089</v>
      </c>
      <c r="H37" s="139">
        <f t="shared" ca="1" si="3"/>
        <v>9.4084378558186646E-3</v>
      </c>
      <c r="I37" s="116">
        <f t="shared" ca="1" si="4"/>
        <v>0.16224328391367296</v>
      </c>
      <c r="J37" s="172">
        <f t="shared" ca="1" si="7"/>
        <v>120.70900352110746</v>
      </c>
      <c r="K37" s="37">
        <f t="shared" ca="1" si="5"/>
        <v>0.46218377142560241</v>
      </c>
      <c r="L37" s="172"/>
      <c r="M37" s="1"/>
      <c r="N37" s="1"/>
      <c r="O37" s="1"/>
      <c r="P37" s="1"/>
      <c r="Q37" s="1"/>
    </row>
    <row r="38" spans="1:17" ht="15.75" x14ac:dyDescent="0.25">
      <c r="A38" s="24"/>
      <c r="B38" s="83">
        <f t="shared" ca="1" si="0"/>
        <v>17.744444444444444</v>
      </c>
      <c r="C38" s="130">
        <f t="shared" si="6"/>
        <v>50960</v>
      </c>
      <c r="D38" s="19">
        <f>$A$24/2*(100-SUM($E$2:E37))</f>
        <v>0.43526785714285759</v>
      </c>
      <c r="E38" s="19">
        <f t="shared" si="8"/>
        <v>3.5714285714285716</v>
      </c>
      <c r="F38" s="19">
        <f t="shared" si="1"/>
        <v>4.0066964285714288</v>
      </c>
      <c r="G38" s="19">
        <f t="shared" ca="1" si="2"/>
        <v>0.35060132390428039</v>
      </c>
      <c r="H38" s="139">
        <f t="shared" ca="1" si="3"/>
        <v>8.5974816677259272E-3</v>
      </c>
      <c r="I38" s="116">
        <f t="shared" ca="1" si="4"/>
        <v>0.15255753581509227</v>
      </c>
      <c r="J38" s="172">
        <f t="shared" ca="1" si="7"/>
        <v>116.61341977557456</v>
      </c>
      <c r="K38" s="37">
        <f t="shared" ca="1" si="5"/>
        <v>0.46547141196261443</v>
      </c>
      <c r="L38" s="172"/>
      <c r="M38" s="1"/>
      <c r="N38" s="1"/>
      <c r="O38" s="1"/>
      <c r="P38" s="1"/>
      <c r="Q38" s="1"/>
    </row>
    <row r="39" spans="1:17" ht="15.75" x14ac:dyDescent="0.25">
      <c r="A39" s="24"/>
      <c r="B39" s="83">
        <f t="shared" ca="1" si="0"/>
        <v>18.244444444444444</v>
      </c>
      <c r="C39" s="130">
        <f t="shared" si="6"/>
        <v>51144</v>
      </c>
      <c r="D39" s="19">
        <f>$A$24/2*(100-SUM($E$2:E38))</f>
        <v>0.3482142857142862</v>
      </c>
      <c r="E39" s="19">
        <f t="shared" si="8"/>
        <v>3.5714285714285716</v>
      </c>
      <c r="F39" s="19">
        <f t="shared" si="1"/>
        <v>3.9196428571428577</v>
      </c>
      <c r="G39" s="19">
        <f t="shared" ca="1" si="2"/>
        <v>0.32023015573185915</v>
      </c>
      <c r="H39" s="139">
        <f t="shared" ca="1" si="3"/>
        <v>7.8527167630129575E-3</v>
      </c>
      <c r="I39" s="116">
        <f t="shared" ca="1" si="4"/>
        <v>0.14326845472074751</v>
      </c>
      <c r="J39" s="172">
        <f t="shared" ca="1" si="7"/>
        <v>112.43415185341806</v>
      </c>
      <c r="K39" s="37">
        <f t="shared" ca="1" si="5"/>
        <v>0.46818911037067351</v>
      </c>
      <c r="L39" s="172"/>
      <c r="M39" s="1"/>
      <c r="N39" s="1"/>
      <c r="O39" s="1"/>
      <c r="P39" s="1"/>
      <c r="Q39" s="1"/>
    </row>
    <row r="40" spans="1:17" ht="15.75" x14ac:dyDescent="0.25">
      <c r="A40" s="26"/>
      <c r="B40" s="83">
        <f t="shared" ca="1" si="0"/>
        <v>18.744444444444444</v>
      </c>
      <c r="C40" s="130">
        <f t="shared" si="6"/>
        <v>51326</v>
      </c>
      <c r="D40" s="19">
        <f>$A$24/2*(100-SUM($E$2:E39))</f>
        <v>0.26116071428571486</v>
      </c>
      <c r="E40" s="19">
        <f t="shared" si="8"/>
        <v>3.5714285714285716</v>
      </c>
      <c r="F40" s="19">
        <f t="shared" si="1"/>
        <v>3.8325892857142865</v>
      </c>
      <c r="G40" s="19">
        <f t="shared" ca="1" si="2"/>
        <v>0.29234564345495451</v>
      </c>
      <c r="H40" s="139">
        <f t="shared" ca="1" si="3"/>
        <v>7.168929889522376E-3</v>
      </c>
      <c r="I40" s="116">
        <f t="shared" ca="1" si="4"/>
        <v>0.13437760804026941</v>
      </c>
      <c r="J40" s="172">
        <f t="shared" ca="1" si="7"/>
        <v>108.19672563007644</v>
      </c>
      <c r="K40" s="37">
        <f t="shared" ca="1" si="5"/>
        <v>0.47033686664977964</v>
      </c>
      <c r="L40" s="172"/>
      <c r="M40" s="1"/>
      <c r="N40" s="1"/>
      <c r="O40" s="1"/>
      <c r="P40" s="1"/>
      <c r="Q40" s="1"/>
    </row>
    <row r="41" spans="1:17" ht="15.75" x14ac:dyDescent="0.25">
      <c r="A41" s="26"/>
      <c r="B41" s="83">
        <f t="shared" ca="1" si="0"/>
        <v>19.244444444444444</v>
      </c>
      <c r="C41" s="130">
        <f t="shared" si="6"/>
        <v>51510</v>
      </c>
      <c r="D41" s="19">
        <f>$A$24/2*(100-SUM($E$2:E40))</f>
        <v>0.17410714285714346</v>
      </c>
      <c r="E41" s="19">
        <f t="shared" si="8"/>
        <v>3.5714285714285716</v>
      </c>
      <c r="F41" s="19">
        <f t="shared" si="1"/>
        <v>3.7455357142857153</v>
      </c>
      <c r="G41" s="19">
        <f t="shared" ca="1" si="2"/>
        <v>0.266751520669125</v>
      </c>
      <c r="H41" s="139">
        <f t="shared" ca="1" si="3"/>
        <v>6.541308182330046E-3</v>
      </c>
      <c r="I41" s="116">
        <f t="shared" ca="1" si="4"/>
        <v>0.12588384190884044</v>
      </c>
      <c r="J41" s="172">
        <f t="shared" ca="1" si="7"/>
        <v>103.92454824464697</v>
      </c>
      <c r="K41" s="37">
        <f t="shared" ca="1" si="5"/>
        <v>0.4719146807999326</v>
      </c>
      <c r="L41" s="172"/>
      <c r="M41" s="1"/>
      <c r="N41" s="1"/>
      <c r="O41" s="1"/>
      <c r="P41" s="1"/>
      <c r="Q41" s="1"/>
    </row>
    <row r="42" spans="1:17" ht="16.5" thickBot="1" x14ac:dyDescent="0.3">
      <c r="A42" s="27"/>
      <c r="B42" s="91">
        <f t="shared" ca="1" si="0"/>
        <v>19.744444444444444</v>
      </c>
      <c r="C42" s="132">
        <f t="shared" si="6"/>
        <v>51691</v>
      </c>
      <c r="D42" s="28">
        <f>$A$24/2*(100-SUM($E$2:E41))</f>
        <v>8.7053571428572077E-2</v>
      </c>
      <c r="E42" s="28">
        <f t="shared" si="8"/>
        <v>3.5714285714285716</v>
      </c>
      <c r="F42" s="28">
        <f t="shared" si="1"/>
        <v>3.6584821428571437</v>
      </c>
      <c r="G42" s="28">
        <f t="shared" ca="1" si="2"/>
        <v>0.2432666178532395</v>
      </c>
      <c r="H42" s="140">
        <f t="shared" ca="1" si="3"/>
        <v>5.9654089838346476E-3</v>
      </c>
      <c r="I42" s="99">
        <f t="shared" ca="1" si="4"/>
        <v>0.11778368626971299</v>
      </c>
      <c r="J42" s="173">
        <f t="shared" ca="1" si="7"/>
        <v>99.638973348192678</v>
      </c>
      <c r="K42" s="44">
        <f t="shared" ca="1" si="5"/>
        <v>0.47292255282113244</v>
      </c>
      <c r="L42" s="172"/>
      <c r="M42" s="1"/>
      <c r="N42" s="1"/>
      <c r="O42" s="1"/>
      <c r="P42" s="1"/>
      <c r="Q42" s="1"/>
    </row>
    <row r="43" spans="1:17" ht="18" thickTop="1" x14ac:dyDescent="0.25">
      <c r="D43" s="19"/>
      <c r="E43" s="19"/>
      <c r="F43" s="120">
        <f>SUM(F3:F42)</f>
        <v>152.74107142857142</v>
      </c>
      <c r="G43" s="120">
        <f ca="1">SUM(G3:G42)</f>
        <v>40.779537247564264</v>
      </c>
      <c r="H43" s="133">
        <f ca="1">SUM(H3:H42)</f>
        <v>1.0000000000000002</v>
      </c>
      <c r="I43" s="120">
        <f ca="1">SUM(I3:I42)</f>
        <v>7.9875343728549915</v>
      </c>
      <c r="J43" s="174">
        <f ca="1">SUM(J3:J42)/((1+O4)^2)</f>
        <v>2926.6867333481518</v>
      </c>
      <c r="K43" s="174">
        <f ca="1">SUM(K3:K42)</f>
        <v>11.283405103823645</v>
      </c>
      <c r="L43" s="172"/>
      <c r="M43" s="1"/>
      <c r="N43" s="1"/>
      <c r="O43" s="1"/>
      <c r="P43" s="1"/>
      <c r="Q43" s="1"/>
    </row>
    <row r="44" spans="1:17" ht="17.25" x14ac:dyDescent="0.25">
      <c r="D44" s="29"/>
      <c r="E44" s="19"/>
      <c r="L44" s="175"/>
      <c r="M44" s="1"/>
      <c r="N44" s="1"/>
    </row>
    <row r="45" spans="1:17" x14ac:dyDescent="0.25">
      <c r="E45" s="30"/>
    </row>
  </sheetData>
  <pageMargins left="0.7" right="0.7" top="0.75" bottom="0.75" header="0.3" footer="0.3"/>
  <pageSetup paperSize="9" orientation="portrait" horizontalDpi="300" verticalDpi="300" r:id="rId1"/>
  <ignoredErrors>
    <ignoredError sqref="J4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F3" sqref="F3"/>
    </sheetView>
  </sheetViews>
  <sheetFormatPr baseColWidth="10" defaultRowHeight="15" x14ac:dyDescent="0.25"/>
  <cols>
    <col min="1" max="1" width="19" customWidth="1"/>
    <col min="2" max="2" width="16" customWidth="1"/>
    <col min="3" max="3" width="16" style="2" customWidth="1"/>
    <col min="4" max="7" width="16" customWidth="1"/>
    <col min="8" max="8" width="20.5703125" customWidth="1"/>
    <col min="9" max="9" width="16.85546875" customWidth="1"/>
    <col min="10" max="10" width="12.7109375" customWidth="1"/>
    <col min="11" max="11" width="16.140625" customWidth="1"/>
    <col min="12" max="12" width="3.85546875" customWidth="1"/>
    <col min="13" max="13" width="15.5703125" customWidth="1"/>
    <col min="14" max="14" width="12.5703125" customWidth="1"/>
    <col min="15" max="15" width="4.42578125" customWidth="1"/>
    <col min="16" max="16" width="18.5703125" customWidth="1"/>
  </cols>
  <sheetData>
    <row r="1" spans="1:18" ht="29.25" customHeight="1" thickBot="1" x14ac:dyDescent="0.35">
      <c r="A1" s="3" t="s">
        <v>8</v>
      </c>
      <c r="B1" s="92" t="s">
        <v>14</v>
      </c>
      <c r="C1" s="97" t="s">
        <v>1</v>
      </c>
      <c r="D1" s="97" t="s">
        <v>2</v>
      </c>
      <c r="E1" s="97" t="s">
        <v>3</v>
      </c>
      <c r="F1" s="97" t="s">
        <v>4</v>
      </c>
      <c r="G1" s="97" t="s">
        <v>10</v>
      </c>
      <c r="H1" s="93" t="s">
        <v>19</v>
      </c>
      <c r="I1" s="93" t="s">
        <v>15</v>
      </c>
      <c r="J1" s="93" t="s">
        <v>34</v>
      </c>
      <c r="K1" s="93" t="s">
        <v>37</v>
      </c>
      <c r="L1" s="1"/>
      <c r="M1" s="1"/>
      <c r="N1" s="1"/>
      <c r="O1" s="1"/>
      <c r="P1" s="1"/>
      <c r="Q1" s="1"/>
      <c r="R1" s="1"/>
    </row>
    <row r="2" spans="1:18" ht="17.25" customHeight="1" thickBot="1" x14ac:dyDescent="0.3">
      <c r="A2" s="4" t="s">
        <v>5</v>
      </c>
      <c r="B2" s="32"/>
      <c r="C2" s="32">
        <f ca="1">WORKDAY(TODAY(),2)</f>
        <v>44480</v>
      </c>
      <c r="D2" s="5"/>
      <c r="E2" s="5"/>
      <c r="F2" s="177">
        <v>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 customHeight="1" thickBot="1" x14ac:dyDescent="0.35">
      <c r="A3" s="53"/>
      <c r="B3" s="83">
        <f t="shared" ref="B3:B52" ca="1" si="0">DAYS360($C$2,C3)/360</f>
        <v>0.24444444444444444</v>
      </c>
      <c r="C3" s="106">
        <v>44570</v>
      </c>
      <c r="D3" s="19">
        <v>0.5625</v>
      </c>
      <c r="E3" s="19"/>
      <c r="F3" s="19">
        <f t="shared" ref="F3:F51" si="1">+D3+E3</f>
        <v>0.5625</v>
      </c>
      <c r="G3" s="19">
        <f t="shared" ref="G3:G52" ca="1" si="2">F3/((1+$O$4)^(B3))</f>
        <v>0.54197988510849393</v>
      </c>
      <c r="H3" s="139">
        <f t="shared" ref="H3:H52" ca="1" si="3">G3/$G$53</f>
        <v>1.4797084131125756E-2</v>
      </c>
      <c r="I3" s="19">
        <f t="shared" ref="I3:I52" ca="1" si="4">+H3*B3</f>
        <v>3.6170650098307404E-3</v>
      </c>
      <c r="J3" s="172">
        <f t="shared" ref="J3:J52" ca="1" si="5">G3*B3*(B3+1)</f>
        <v>0.1648689428280653</v>
      </c>
      <c r="K3" s="37">
        <f t="shared" ref="K3:K52" ca="1" si="6">(B3*F3)/$F$53</f>
        <v>8.6150121927341928E-4</v>
      </c>
      <c r="L3" s="1"/>
      <c r="M3" s="96" t="s">
        <v>29</v>
      </c>
      <c r="N3" s="142">
        <f ca="1">'Curva de rendimientos'!B7</f>
        <v>36.599998620449107</v>
      </c>
      <c r="P3" s="96" t="s">
        <v>30</v>
      </c>
      <c r="Q3" s="159">
        <v>44386</v>
      </c>
      <c r="R3" s="1"/>
    </row>
    <row r="4" spans="1:18" ht="17.25" customHeight="1" thickBot="1" x14ac:dyDescent="0.3">
      <c r="A4" s="54">
        <v>1.125E-2</v>
      </c>
      <c r="B4" s="83">
        <f t="shared" ca="1" si="0"/>
        <v>0.74444444444444446</v>
      </c>
      <c r="C4" s="106">
        <f t="shared" ref="C4:C52" si="7">EDATE(C3,6)</f>
        <v>44751</v>
      </c>
      <c r="D4" s="19">
        <f>$A$4/2*(100-SUM($E$2:E3))</f>
        <v>0.5625</v>
      </c>
      <c r="E4" s="19"/>
      <c r="F4" s="19">
        <f t="shared" si="1"/>
        <v>0.5625</v>
      </c>
      <c r="G4" s="19">
        <f t="shared" ca="1" si="2"/>
        <v>0.50230886733926239</v>
      </c>
      <c r="H4" s="139">
        <f t="shared" ca="1" si="3"/>
        <v>1.3713989714473754E-2</v>
      </c>
      <c r="I4" s="19">
        <f t="shared" ca="1" si="4"/>
        <v>1.020930345410824E-2</v>
      </c>
      <c r="J4" s="172">
        <f t="shared" ca="1" si="5"/>
        <v>0.65231937969650633</v>
      </c>
      <c r="K4" s="37">
        <f t="shared" ca="1" si="6"/>
        <v>2.6236628041508684E-3</v>
      </c>
      <c r="L4" s="1"/>
      <c r="M4" s="96" t="s">
        <v>13</v>
      </c>
      <c r="N4" s="192">
        <f>'Curva de rendimientos'!H7</f>
        <v>0.15795467828139076</v>
      </c>
      <c r="O4" s="202">
        <f>(1+N4/2)^2-1</f>
        <v>0.16419209837913518</v>
      </c>
      <c r="P4" s="96" t="s">
        <v>31</v>
      </c>
      <c r="Q4" s="148">
        <f ca="1">D3/180*DAYS360(Q3,C2)</f>
        <v>0.28750000000000003</v>
      </c>
      <c r="R4" s="1"/>
    </row>
    <row r="5" spans="1:18" ht="17.25" customHeight="1" thickBot="1" x14ac:dyDescent="0.35">
      <c r="A5" s="55"/>
      <c r="B5" s="83">
        <f t="shared" ca="1" si="0"/>
        <v>1.2444444444444445</v>
      </c>
      <c r="C5" s="124">
        <f t="shared" si="7"/>
        <v>44935</v>
      </c>
      <c r="D5" s="19">
        <f>$A$6/2*(100-SUM($E$2:E4))</f>
        <v>0.75</v>
      </c>
      <c r="E5" s="19"/>
      <c r="F5" s="19">
        <f t="shared" si="1"/>
        <v>0.75</v>
      </c>
      <c r="G5" s="19">
        <f t="shared" ca="1" si="2"/>
        <v>0.62072217103812333</v>
      </c>
      <c r="H5" s="139">
        <f t="shared" ca="1" si="3"/>
        <v>1.6946898656704772E-2</v>
      </c>
      <c r="I5" s="19">
        <f t="shared" ca="1" si="4"/>
        <v>2.1089473883899274E-2</v>
      </c>
      <c r="J5" s="172">
        <f t="shared" ca="1" si="5"/>
        <v>1.7337306663662349</v>
      </c>
      <c r="K5" s="37">
        <f t="shared" ca="1" si="6"/>
        <v>5.8477658520377559E-3</v>
      </c>
      <c r="L5" s="1"/>
      <c r="M5" s="96" t="s">
        <v>11</v>
      </c>
      <c r="N5" s="94">
        <f ca="1">I53</f>
        <v>7.4163049158196603</v>
      </c>
      <c r="P5" s="96" t="s">
        <v>33</v>
      </c>
      <c r="Q5" s="147">
        <f ca="1">(100-SUM(E2:E2))+Q4</f>
        <v>100.28749999999999</v>
      </c>
      <c r="R5" s="1"/>
    </row>
    <row r="6" spans="1:18" ht="17.25" customHeight="1" thickBot="1" x14ac:dyDescent="0.35">
      <c r="A6" s="56">
        <v>1.4999999999999999E-2</v>
      </c>
      <c r="B6" s="83">
        <f t="shared" ca="1" si="0"/>
        <v>1.7444444444444445</v>
      </c>
      <c r="C6" s="124">
        <f t="shared" si="7"/>
        <v>45116</v>
      </c>
      <c r="D6" s="19">
        <f>$A$6/2*(100-SUM($E$2:E5))</f>
        <v>0.75</v>
      </c>
      <c r="E6" s="19"/>
      <c r="F6" s="19">
        <f t="shared" si="1"/>
        <v>0.75</v>
      </c>
      <c r="G6" s="19">
        <f t="shared" ca="1" si="2"/>
        <v>0.57528749540974655</v>
      </c>
      <c r="H6" s="139">
        <f t="shared" ca="1" si="3"/>
        <v>1.5706445392265043E-2</v>
      </c>
      <c r="I6" s="19">
        <f t="shared" ca="1" si="4"/>
        <v>2.7399021406506796E-2</v>
      </c>
      <c r="J6" s="172">
        <f t="shared" ca="1" si="5"/>
        <v>2.7542066400610565</v>
      </c>
      <c r="K6" s="37">
        <f t="shared" ca="1" si="6"/>
        <v>8.1973146318743539E-3</v>
      </c>
      <c r="L6" s="1"/>
      <c r="M6" s="96" t="s">
        <v>12</v>
      </c>
      <c r="N6" s="95">
        <f ca="1">N5/(1+N4/2)</f>
        <v>6.8734575294473323</v>
      </c>
      <c r="P6" s="96" t="s">
        <v>32</v>
      </c>
      <c r="Q6" s="160">
        <f ca="1">N3/Q5</f>
        <v>0.36495075279021921</v>
      </c>
      <c r="R6" s="1"/>
    </row>
    <row r="7" spans="1:18" ht="17.25" customHeight="1" thickBot="1" x14ac:dyDescent="0.35">
      <c r="A7" s="57"/>
      <c r="B7" s="83">
        <f t="shared" ca="1" si="0"/>
        <v>2.2444444444444445</v>
      </c>
      <c r="C7" s="134">
        <f t="shared" si="7"/>
        <v>45300</v>
      </c>
      <c r="D7" s="19">
        <f>$A$8/2*(100-SUM($E$2:E6))</f>
        <v>1.8124999999999998</v>
      </c>
      <c r="E7" s="19"/>
      <c r="F7" s="19">
        <f t="shared" si="1"/>
        <v>1.8124999999999998</v>
      </c>
      <c r="G7" s="19">
        <f t="shared" ca="1" si="2"/>
        <v>1.2885146550103768</v>
      </c>
      <c r="H7" s="139">
        <f t="shared" ca="1" si="3"/>
        <v>3.5178906594587597E-2</v>
      </c>
      <c r="I7" s="19">
        <f t="shared" ca="1" si="4"/>
        <v>7.8957101467852162E-2</v>
      </c>
      <c r="J7" s="172">
        <f t="shared" ca="1" si="5"/>
        <v>9.3829319026088971</v>
      </c>
      <c r="K7" s="37">
        <f t="shared" ca="1" si="6"/>
        <v>2.5488253244968135E-2</v>
      </c>
      <c r="L7" s="1"/>
      <c r="M7" s="96" t="s">
        <v>35</v>
      </c>
      <c r="N7" s="143">
        <f ca="1">J53/N3</f>
        <v>63.146470794785373</v>
      </c>
      <c r="O7" s="1"/>
      <c r="P7" s="1"/>
      <c r="Q7" s="1"/>
      <c r="R7" s="1"/>
    </row>
    <row r="8" spans="1:18" ht="17.25" customHeight="1" thickBot="1" x14ac:dyDescent="0.35">
      <c r="A8" s="58">
        <v>3.6249999999999998E-2</v>
      </c>
      <c r="B8" s="83">
        <f t="shared" ca="1" si="0"/>
        <v>2.7444444444444445</v>
      </c>
      <c r="C8" s="134">
        <f t="shared" si="7"/>
        <v>45482</v>
      </c>
      <c r="D8" s="19">
        <f>$A$8/2*(100-SUM($E$2:E7))</f>
        <v>1.8124999999999998</v>
      </c>
      <c r="E8" s="19"/>
      <c r="F8" s="19">
        <f t="shared" si="1"/>
        <v>1.8124999999999998</v>
      </c>
      <c r="G8" s="19">
        <f t="shared" ca="1" si="2"/>
        <v>1.194199922712518</v>
      </c>
      <c r="H8" s="139">
        <f t="shared" ca="1" si="3"/>
        <v>3.2603934594775001E-2</v>
      </c>
      <c r="I8" s="19">
        <f t="shared" ca="1" si="4"/>
        <v>8.9479687165660279E-2</v>
      </c>
      <c r="J8" s="172">
        <f t="shared" ca="1" si="5"/>
        <v>12.272099674897195</v>
      </c>
      <c r="K8" s="37">
        <f t="shared" ca="1" si="6"/>
        <v>3.1166329462906577E-2</v>
      </c>
      <c r="L8" s="1"/>
      <c r="M8" s="96" t="s">
        <v>38</v>
      </c>
      <c r="N8" s="143">
        <f ca="1">K53</f>
        <v>12.430868680396092</v>
      </c>
      <c r="O8" s="1"/>
      <c r="P8" s="1"/>
      <c r="Q8" s="1"/>
      <c r="R8" s="1"/>
    </row>
    <row r="9" spans="1:18" ht="17.25" customHeight="1" x14ac:dyDescent="0.3">
      <c r="A9" s="59"/>
      <c r="B9" s="83">
        <f t="shared" ca="1" si="0"/>
        <v>3.2444444444444445</v>
      </c>
      <c r="C9" s="135">
        <f>EDATE(C8,6)</f>
        <v>45666</v>
      </c>
      <c r="D9" s="19">
        <f>$A$14/2*(100-SUM($E$2:E8))</f>
        <v>2.0625</v>
      </c>
      <c r="E9" s="19">
        <v>2.2727272727272729</v>
      </c>
      <c r="F9" s="19">
        <f t="shared" si="1"/>
        <v>4.3352272727272734</v>
      </c>
      <c r="G9" s="19">
        <f t="shared" ca="1" si="2"/>
        <v>2.6472720232277873</v>
      </c>
      <c r="H9" s="139">
        <f t="shared" ca="1" si="3"/>
        <v>7.2275573175258359E-2</v>
      </c>
      <c r="I9" s="19">
        <f t="shared" ca="1" si="4"/>
        <v>0.23449408185750489</v>
      </c>
      <c r="J9" s="172">
        <f t="shared" ca="1" si="5"/>
        <v>36.455223525792633</v>
      </c>
      <c r="K9" s="37">
        <f t="shared" ca="1" si="6"/>
        <v>8.8126274402773541E-2</v>
      </c>
      <c r="L9" s="1"/>
      <c r="M9" s="189"/>
      <c r="N9" s="190"/>
      <c r="O9" s="184"/>
      <c r="P9" s="1"/>
      <c r="Q9" s="1"/>
      <c r="R9" s="1"/>
    </row>
    <row r="10" spans="1:18" ht="17.25" customHeight="1" x14ac:dyDescent="0.25">
      <c r="A10" s="60"/>
      <c r="B10" s="83">
        <f t="shared" ca="1" si="0"/>
        <v>3.7444444444444445</v>
      </c>
      <c r="C10" s="135">
        <f t="shared" si="7"/>
        <v>45847</v>
      </c>
      <c r="D10" s="19">
        <f>$A$14/2*(100-SUM($E$2:E9))</f>
        <v>2.0156250000000004</v>
      </c>
      <c r="E10" s="19">
        <v>2.2727272727272729</v>
      </c>
      <c r="F10" s="19">
        <f t="shared" si="1"/>
        <v>4.2883522727272734</v>
      </c>
      <c r="G10" s="19">
        <f t="shared" ca="1" si="2"/>
        <v>2.4269723585806076</v>
      </c>
      <c r="H10" s="139">
        <f t="shared" ca="1" si="3"/>
        <v>6.6260972335984478E-2</v>
      </c>
      <c r="I10" s="19">
        <f t="shared" ca="1" si="4"/>
        <v>0.2481105297469641</v>
      </c>
      <c r="J10" s="172">
        <f t="shared" ca="1" si="5"/>
        <v>43.115913015727266</v>
      </c>
      <c r="K10" s="37">
        <f t="shared" ca="1" si="6"/>
        <v>0.10060765897525653</v>
      </c>
      <c r="L10" s="1"/>
      <c r="M10" s="10"/>
      <c r="N10" s="149"/>
      <c r="O10" s="184"/>
      <c r="P10" s="184"/>
      <c r="Q10" s="1"/>
      <c r="R10" s="1"/>
    </row>
    <row r="11" spans="1:18" ht="17.25" customHeight="1" x14ac:dyDescent="0.25">
      <c r="A11" s="60"/>
      <c r="B11" s="83">
        <f t="shared" ca="1" si="0"/>
        <v>4.2444444444444445</v>
      </c>
      <c r="C11" s="135">
        <f t="shared" si="7"/>
        <v>46031</v>
      </c>
      <c r="D11" s="19">
        <f>$A$14/2*(100-SUM($E$2:E10))</f>
        <v>1.96875</v>
      </c>
      <c r="E11" s="19">
        <v>2.2727272727272729</v>
      </c>
      <c r="F11" s="19">
        <f t="shared" si="1"/>
        <v>4.2414772727272734</v>
      </c>
      <c r="G11" s="19">
        <f t="shared" ca="1" si="2"/>
        <v>2.2247396590621586</v>
      </c>
      <c r="H11" s="139">
        <f t="shared" ca="1" si="3"/>
        <v>6.0739634088827696E-2</v>
      </c>
      <c r="I11" s="19">
        <f t="shared" ca="1" si="4"/>
        <v>0.25780600246591312</v>
      </c>
      <c r="J11" s="172">
        <f t="shared" ca="1" si="5"/>
        <v>49.522155492289315</v>
      </c>
      <c r="K11" s="37">
        <f t="shared" ca="1" si="6"/>
        <v>0.11279534995025994</v>
      </c>
      <c r="L11" s="1"/>
      <c r="M11" s="10"/>
      <c r="N11" s="149"/>
      <c r="O11" s="184"/>
      <c r="P11" s="184"/>
      <c r="Q11" s="1"/>
      <c r="R11" s="1"/>
    </row>
    <row r="12" spans="1:18" ht="17.25" customHeight="1" x14ac:dyDescent="0.25">
      <c r="A12" s="60"/>
      <c r="B12" s="83">
        <f t="shared" ca="1" si="0"/>
        <v>4.7444444444444445</v>
      </c>
      <c r="C12" s="135">
        <f>EDATE(C11,6)</f>
        <v>46212</v>
      </c>
      <c r="D12" s="19">
        <f>$A$14/2*(100-SUM($E$2:E11))</f>
        <v>1.9218750000000002</v>
      </c>
      <c r="E12" s="19">
        <v>2.2727272727272729</v>
      </c>
      <c r="F12" s="19">
        <f t="shared" si="1"/>
        <v>4.1946022727272734</v>
      </c>
      <c r="G12" s="19">
        <f t="shared" ca="1" si="2"/>
        <v>2.0391093531349718</v>
      </c>
      <c r="H12" s="139">
        <f t="shared" ca="1" si="3"/>
        <v>5.5671572838655391E-2</v>
      </c>
      <c r="I12" s="19">
        <f t="shared" ca="1" si="4"/>
        <v>0.26413068446784282</v>
      </c>
      <c r="J12" s="172">
        <f t="shared" ca="1" si="5"/>
        <v>55.574289097373239</v>
      </c>
      <c r="K12" s="37">
        <f t="shared" ca="1" si="6"/>
        <v>0.12468934732778378</v>
      </c>
      <c r="L12" s="1"/>
      <c r="M12" s="10"/>
      <c r="N12" s="149"/>
      <c r="O12" s="184"/>
      <c r="P12" s="156"/>
      <c r="Q12" s="1"/>
      <c r="R12" s="1"/>
    </row>
    <row r="13" spans="1:18" ht="17.25" customHeight="1" x14ac:dyDescent="0.25">
      <c r="A13" s="60"/>
      <c r="B13" s="83">
        <f t="shared" ca="1" si="0"/>
        <v>5.2444444444444445</v>
      </c>
      <c r="C13" s="135">
        <f t="shared" si="7"/>
        <v>46396</v>
      </c>
      <c r="D13" s="19">
        <f>$A$14/2*(100-SUM($E$2:E12))</f>
        <v>1.875</v>
      </c>
      <c r="E13" s="19">
        <v>2.2727272727272729</v>
      </c>
      <c r="F13" s="19">
        <f t="shared" si="1"/>
        <v>4.1477272727272734</v>
      </c>
      <c r="G13" s="19">
        <f t="shared" ca="1" si="2"/>
        <v>1.8687344743979621</v>
      </c>
      <c r="H13" s="139">
        <f t="shared" ca="1" si="3"/>
        <v>5.1020013834768715E-2</v>
      </c>
      <c r="I13" s="19">
        <f t="shared" ca="1" si="4"/>
        <v>0.26757162811123147</v>
      </c>
      <c r="J13" s="172">
        <f t="shared" ca="1" si="5"/>
        <v>61.198516248975437</v>
      </c>
      <c r="K13" s="37">
        <f t="shared" ca="1" si="6"/>
        <v>0.13628965110782804</v>
      </c>
      <c r="L13" s="1"/>
      <c r="M13" s="10"/>
      <c r="N13" s="149"/>
      <c r="O13" s="184"/>
      <c r="P13" s="184"/>
      <c r="Q13" s="1"/>
      <c r="R13" s="1"/>
    </row>
    <row r="14" spans="1:18" ht="17.25" customHeight="1" x14ac:dyDescent="0.25">
      <c r="A14" s="61">
        <v>4.1250000000000002E-2</v>
      </c>
      <c r="B14" s="83">
        <f t="shared" ca="1" si="0"/>
        <v>5.7444444444444445</v>
      </c>
      <c r="C14" s="135">
        <f>EDATE(C13,6)</f>
        <v>46577</v>
      </c>
      <c r="D14" s="19">
        <f>$A$14/2*(100-SUM($E$2:E13))</f>
        <v>1.8281250000000002</v>
      </c>
      <c r="E14" s="19">
        <v>2.2727272727272729</v>
      </c>
      <c r="F14" s="19">
        <f t="shared" si="1"/>
        <v>4.1008522727272734</v>
      </c>
      <c r="G14" s="19">
        <f t="shared" ca="1" si="2"/>
        <v>1.7123762917935603</v>
      </c>
      <c r="H14" s="139">
        <f t="shared" ca="1" si="3"/>
        <v>4.6751137357694088E-2</v>
      </c>
      <c r="I14" s="19">
        <f t="shared" ca="1" si="4"/>
        <v>0.26855931126586491</v>
      </c>
      <c r="J14" s="172">
        <f t="shared" ca="1" si="5"/>
        <v>66.342742656094245</v>
      </c>
      <c r="K14" s="37">
        <f t="shared" ca="1" si="6"/>
        <v>0.14759626129039272</v>
      </c>
      <c r="L14" s="1"/>
      <c r="M14" s="10"/>
      <c r="N14" s="149"/>
      <c r="O14" s="184"/>
      <c r="P14" s="1"/>
      <c r="Q14" s="1"/>
      <c r="R14" s="1"/>
    </row>
    <row r="15" spans="1:18" ht="17.25" customHeight="1" x14ac:dyDescent="0.25">
      <c r="A15" s="62"/>
      <c r="B15" s="83">
        <f t="shared" ca="1" si="0"/>
        <v>6.2444444444444445</v>
      </c>
      <c r="C15" s="136">
        <f t="shared" si="7"/>
        <v>46761</v>
      </c>
      <c r="D15" s="19">
        <f>$A$16/2*(100-SUM($E$2:E14))</f>
        <v>1.8892045454545452</v>
      </c>
      <c r="E15" s="19">
        <v>2.2727272727272729</v>
      </c>
      <c r="F15" s="19">
        <f t="shared" si="1"/>
        <v>4.1619318181818183</v>
      </c>
      <c r="G15" s="19">
        <f t="shared" ca="1" si="2"/>
        <v>1.610674262955315</v>
      </c>
      <c r="H15" s="139">
        <f t="shared" ca="1" si="3"/>
        <v>4.3974478078679623E-2</v>
      </c>
      <c r="I15" s="19">
        <f t="shared" ca="1" si="4"/>
        <v>0.27459618533575497</v>
      </c>
      <c r="J15" s="172">
        <f t="shared" ca="1" si="5"/>
        <v>72.862926682609668</v>
      </c>
      <c r="K15" s="37">
        <f t="shared" ca="1" si="6"/>
        <v>0.16283282802212681</v>
      </c>
      <c r="L15" s="1"/>
      <c r="M15" s="10"/>
      <c r="N15" s="149"/>
      <c r="O15" s="184"/>
      <c r="P15" s="1"/>
      <c r="Q15" s="1"/>
      <c r="R15" s="1"/>
    </row>
    <row r="16" spans="1:18" ht="17.25" customHeight="1" x14ac:dyDescent="0.25">
      <c r="A16" s="63">
        <v>4.3749999999999997E-2</v>
      </c>
      <c r="B16" s="83">
        <f t="shared" ca="1" si="0"/>
        <v>6.7444444444444445</v>
      </c>
      <c r="C16" s="136">
        <f t="shared" si="7"/>
        <v>46943</v>
      </c>
      <c r="D16" s="19">
        <f>$A$16/2*(100-SUM($E$2:E15))</f>
        <v>1.8394886363636362</v>
      </c>
      <c r="E16" s="19">
        <v>2.2727272727272729</v>
      </c>
      <c r="F16" s="19">
        <f t="shared" si="1"/>
        <v>4.1122159090909092</v>
      </c>
      <c r="G16" s="19">
        <f t="shared" ca="1" si="2"/>
        <v>1.474946756505412</v>
      </c>
      <c r="H16" s="139">
        <f t="shared" ca="1" si="3"/>
        <v>4.0268858392360281E-2</v>
      </c>
      <c r="I16" s="19">
        <f t="shared" ca="1" si="4"/>
        <v>0.27159107826847434</v>
      </c>
      <c r="J16" s="172">
        <f t="shared" ca="1" si="5"/>
        <v>77.039382567352249</v>
      </c>
      <c r="K16" s="37">
        <f t="shared" ca="1" si="6"/>
        <v>0.17377019514307912</v>
      </c>
      <c r="L16" s="1"/>
      <c r="M16" s="10"/>
      <c r="N16" s="149"/>
      <c r="O16" s="184"/>
      <c r="P16" s="1"/>
      <c r="Q16" s="1"/>
      <c r="R16" s="1"/>
    </row>
    <row r="17" spans="1:18" ht="17.25" customHeight="1" x14ac:dyDescent="0.25">
      <c r="A17" s="64"/>
      <c r="B17" s="83">
        <f t="shared" ca="1" si="0"/>
        <v>7.2444444444444445</v>
      </c>
      <c r="C17" s="137">
        <f t="shared" si="7"/>
        <v>47127</v>
      </c>
      <c r="D17" s="19">
        <f>$A$26/2*(100-SUM($E$2:E16))</f>
        <v>2.0454545454545454</v>
      </c>
      <c r="E17" s="19">
        <v>2.2727272727272729</v>
      </c>
      <c r="F17" s="19">
        <f t="shared" si="1"/>
        <v>4.3181818181818183</v>
      </c>
      <c r="G17" s="19">
        <f t="shared" ca="1" si="2"/>
        <v>1.4354531910284611</v>
      </c>
      <c r="H17" s="139">
        <f t="shared" ca="1" si="3"/>
        <v>3.9190608761594775E-2</v>
      </c>
      <c r="I17" s="19">
        <f t="shared" ca="1" si="4"/>
        <v>0.28391418791733103</v>
      </c>
      <c r="J17" s="172">
        <f t="shared" ca="1" si="5"/>
        <v>85.734479823273205</v>
      </c>
      <c r="K17" s="37">
        <f t="shared" ca="1" si="6"/>
        <v>0.19600141605801874</v>
      </c>
      <c r="L17" s="1"/>
      <c r="M17" s="10"/>
      <c r="N17" s="149"/>
      <c r="O17" s="184"/>
      <c r="P17" s="1"/>
      <c r="Q17" s="1"/>
      <c r="R17" s="1"/>
    </row>
    <row r="18" spans="1:18" ht="17.25" customHeight="1" x14ac:dyDescent="0.25">
      <c r="A18" s="64"/>
      <c r="B18" s="83">
        <f t="shared" ca="1" si="0"/>
        <v>7.7444444444444445</v>
      </c>
      <c r="C18" s="137">
        <f t="shared" si="7"/>
        <v>47308</v>
      </c>
      <c r="D18" s="19">
        <f>$A$26/2*(100-SUM($E$2:E17))</f>
        <v>1.9886363636363638</v>
      </c>
      <c r="E18" s="19">
        <v>2.2727272727272729</v>
      </c>
      <c r="F18" s="19">
        <f t="shared" si="1"/>
        <v>4.2613636363636367</v>
      </c>
      <c r="G18" s="19">
        <f t="shared" ca="1" si="2"/>
        <v>1.3128780352045271</v>
      </c>
      <c r="H18" s="139">
        <f t="shared" ca="1" si="3"/>
        <v>3.5844073321908629E-2</v>
      </c>
      <c r="I18" s="19">
        <f t="shared" ca="1" si="4"/>
        <v>0.27759243450411458</v>
      </c>
      <c r="J18" s="172">
        <f t="shared" ca="1" si="5"/>
        <v>88.90923513000692</v>
      </c>
      <c r="K18" s="37">
        <f t="shared" ca="1" si="6"/>
        <v>0.20677215903359966</v>
      </c>
      <c r="L18" s="1"/>
      <c r="M18" s="10"/>
      <c r="N18" s="149"/>
      <c r="O18" s="184"/>
      <c r="P18" s="1"/>
      <c r="Q18" s="1"/>
      <c r="R18" s="1"/>
    </row>
    <row r="19" spans="1:18" ht="17.25" customHeight="1" x14ac:dyDescent="0.25">
      <c r="A19" s="64"/>
      <c r="B19" s="83">
        <f t="shared" ca="1" si="0"/>
        <v>8.2444444444444436</v>
      </c>
      <c r="C19" s="137">
        <f t="shared" si="7"/>
        <v>47492</v>
      </c>
      <c r="D19" s="19">
        <f>$A$26/2*(100-SUM($E$2:E18))</f>
        <v>1.9318181818181817</v>
      </c>
      <c r="E19" s="19">
        <v>2.2727272727272729</v>
      </c>
      <c r="F19" s="19">
        <f t="shared" si="1"/>
        <v>4.204545454545455</v>
      </c>
      <c r="G19" s="19">
        <f t="shared" ca="1" si="2"/>
        <v>1.2005562561367389</v>
      </c>
      <c r="H19" s="139">
        <f t="shared" ca="1" si="3"/>
        <v>3.2777474615406678E-2</v>
      </c>
      <c r="I19" s="19">
        <f t="shared" ca="1" si="4"/>
        <v>0.27023206849590836</v>
      </c>
      <c r="J19" s="172">
        <f t="shared" ca="1" si="5"/>
        <v>91.500765603515902</v>
      </c>
      <c r="K19" s="37">
        <f t="shared" ca="1" si="6"/>
        <v>0.21718690976981134</v>
      </c>
      <c r="L19" s="1"/>
      <c r="M19" s="10"/>
      <c r="N19" s="149"/>
      <c r="O19" s="184"/>
      <c r="P19" s="1"/>
      <c r="Q19" s="1"/>
      <c r="R19" s="1"/>
    </row>
    <row r="20" spans="1:18" ht="17.25" customHeight="1" x14ac:dyDescent="0.25">
      <c r="A20" s="64"/>
      <c r="B20" s="83">
        <f t="shared" ca="1" si="0"/>
        <v>8.7444444444444436</v>
      </c>
      <c r="C20" s="137">
        <f t="shared" si="7"/>
        <v>47673</v>
      </c>
      <c r="D20" s="19">
        <f>$A$26/2*(100-SUM($E$2:E19))</f>
        <v>1.875</v>
      </c>
      <c r="E20" s="19">
        <v>2.2727272727272729</v>
      </c>
      <c r="F20" s="19">
        <f t="shared" si="1"/>
        <v>4.1477272727272734</v>
      </c>
      <c r="G20" s="19">
        <f t="shared" ca="1" si="2"/>
        <v>1.0976435555995196</v>
      </c>
      <c r="H20" s="139">
        <f t="shared" ca="1" si="3"/>
        <v>2.9967761690902577E-2</v>
      </c>
      <c r="I20" s="19">
        <f t="shared" ca="1" si="4"/>
        <v>0.26205142723044805</v>
      </c>
      <c r="J20" s="172">
        <f t="shared" ca="1" si="5"/>
        <v>93.529936349534893</v>
      </c>
      <c r="K20" s="37">
        <f t="shared" ca="1" si="6"/>
        <v>0.22724566826665391</v>
      </c>
      <c r="L20" s="1"/>
      <c r="M20" s="10"/>
      <c r="N20" s="149"/>
      <c r="O20" s="184"/>
      <c r="P20" s="1"/>
      <c r="Q20" s="1"/>
      <c r="R20" s="1"/>
    </row>
    <row r="21" spans="1:18" ht="17.25" customHeight="1" x14ac:dyDescent="0.25">
      <c r="A21" s="64"/>
      <c r="B21" s="83">
        <f t="shared" ca="1" si="0"/>
        <v>9.2444444444444436</v>
      </c>
      <c r="C21" s="137">
        <f t="shared" si="7"/>
        <v>47857</v>
      </c>
      <c r="D21" s="19">
        <f>$A$26/2*(100-SUM($E$2:E20))</f>
        <v>1.8181818181818181</v>
      </c>
      <c r="E21" s="19">
        <v>2.2727272727272729</v>
      </c>
      <c r="F21" s="19">
        <f t="shared" si="1"/>
        <v>4.0909090909090908</v>
      </c>
      <c r="G21" s="19">
        <f t="shared" ca="1" si="2"/>
        <v>1.003364299913204</v>
      </c>
      <c r="H21" s="139">
        <f t="shared" ca="1" si="3"/>
        <v>2.7393758270220156E-2</v>
      </c>
      <c r="I21" s="19">
        <f t="shared" ca="1" si="4"/>
        <v>0.25324007645359076</v>
      </c>
      <c r="J21" s="172">
        <f t="shared" ca="1" si="5"/>
        <v>95.022810854397321</v>
      </c>
      <c r="K21" s="37">
        <f t="shared" ca="1" si="6"/>
        <v>0.23694843452412723</v>
      </c>
      <c r="L21" s="1"/>
      <c r="M21" s="10"/>
      <c r="N21" s="149"/>
      <c r="O21" s="184"/>
      <c r="P21" s="1"/>
      <c r="Q21" s="1"/>
      <c r="R21" s="1"/>
    </row>
    <row r="22" spans="1:18" ht="17.25" customHeight="1" x14ac:dyDescent="0.25">
      <c r="A22" s="64"/>
      <c r="B22" s="83">
        <f t="shared" ca="1" si="0"/>
        <v>9.7444444444444436</v>
      </c>
      <c r="C22" s="137">
        <f t="shared" si="7"/>
        <v>48038</v>
      </c>
      <c r="D22" s="19">
        <f>$A$26/2*(100-SUM($E$2:E21))</f>
        <v>1.7613636363636365</v>
      </c>
      <c r="E22" s="19">
        <v>2.2727272727272729</v>
      </c>
      <c r="F22" s="19">
        <f t="shared" si="1"/>
        <v>4.0340909090909092</v>
      </c>
      <c r="G22" s="19">
        <f t="shared" ca="1" si="2"/>
        <v>0.91700599145540818</v>
      </c>
      <c r="H22" s="139">
        <f t="shared" ca="1" si="3"/>
        <v>2.5036011809913956E-2</v>
      </c>
      <c r="I22" s="19">
        <f t="shared" ca="1" si="4"/>
        <v>0.24396202619216154</v>
      </c>
      <c r="J22" s="172">
        <f t="shared" ca="1" si="5"/>
        <v>96.009281988602694</v>
      </c>
      <c r="K22" s="37">
        <f t="shared" ca="1" si="6"/>
        <v>0.24629520854223144</v>
      </c>
      <c r="L22" s="1"/>
      <c r="M22" s="10"/>
      <c r="N22" s="149"/>
      <c r="O22" s="184"/>
      <c r="P22" s="1"/>
      <c r="Q22" s="1"/>
      <c r="R22" s="1"/>
    </row>
    <row r="23" spans="1:18" ht="17.25" customHeight="1" x14ac:dyDescent="0.25">
      <c r="A23" s="64"/>
      <c r="B23" s="83">
        <f t="shared" ca="1" si="0"/>
        <v>10.244444444444444</v>
      </c>
      <c r="C23" s="137">
        <f t="shared" si="7"/>
        <v>48222</v>
      </c>
      <c r="D23" s="19">
        <f>$A$26/2*(100-SUM($E$2:E22))</f>
        <v>1.7045454545454544</v>
      </c>
      <c r="E23" s="19">
        <v>2.2727272727272729</v>
      </c>
      <c r="F23" s="19">
        <f t="shared" si="1"/>
        <v>3.9772727272727275</v>
      </c>
      <c r="G23" s="19">
        <f t="shared" ca="1" si="2"/>
        <v>0.83791418161848452</v>
      </c>
      <c r="H23" s="139">
        <f t="shared" ca="1" si="3"/>
        <v>2.2876654615309432E-2</v>
      </c>
      <c r="I23" s="19">
        <f t="shared" ca="1" si="4"/>
        <v>0.23435861728128105</v>
      </c>
      <c r="J23" s="172">
        <f t="shared" ca="1" si="5"/>
        <v>96.521920735514755</v>
      </c>
      <c r="K23" s="37">
        <f t="shared" ca="1" si="6"/>
        <v>0.25528599032096644</v>
      </c>
      <c r="L23" s="1"/>
      <c r="M23" s="184"/>
      <c r="N23" s="184"/>
      <c r="O23" s="184"/>
      <c r="P23" s="1"/>
      <c r="Q23" s="1"/>
      <c r="R23" s="1"/>
    </row>
    <row r="24" spans="1:18" ht="17.25" customHeight="1" x14ac:dyDescent="0.25">
      <c r="A24" s="64"/>
      <c r="B24" s="83">
        <f t="shared" ca="1" si="0"/>
        <v>10.744444444444444</v>
      </c>
      <c r="C24" s="137">
        <f t="shared" si="7"/>
        <v>48404</v>
      </c>
      <c r="D24" s="19">
        <f>$A$26/2*(100-SUM($E$2:E23))</f>
        <v>1.6477272727272727</v>
      </c>
      <c r="E24" s="19">
        <v>2.2727272727272729</v>
      </c>
      <c r="F24" s="19">
        <f t="shared" si="1"/>
        <v>3.9204545454545459</v>
      </c>
      <c r="G24" s="19">
        <f t="shared" ca="1" si="2"/>
        <v>0.76548779020857083</v>
      </c>
      <c r="H24" s="139">
        <f t="shared" ca="1" si="3"/>
        <v>2.0899276051173598E-2</v>
      </c>
      <c r="I24" s="19">
        <f t="shared" ca="1" si="4"/>
        <v>0.22455111046094298</v>
      </c>
      <c r="J24" s="172">
        <f t="shared" ca="1" si="5"/>
        <v>96.59501415311037</v>
      </c>
      <c r="K24" s="37">
        <f t="shared" ca="1" si="6"/>
        <v>0.26392077986033224</v>
      </c>
      <c r="L24" s="1"/>
      <c r="M24" s="1"/>
      <c r="N24" s="1"/>
      <c r="O24" s="1"/>
      <c r="P24" s="1"/>
      <c r="Q24" s="1"/>
      <c r="R24" s="1"/>
    </row>
    <row r="25" spans="1:18" ht="17.25" customHeight="1" x14ac:dyDescent="0.25">
      <c r="A25" s="64"/>
      <c r="B25" s="83">
        <f t="shared" ca="1" si="0"/>
        <v>11.244444444444444</v>
      </c>
      <c r="C25" s="137">
        <f t="shared" si="7"/>
        <v>48588</v>
      </c>
      <c r="D25" s="19">
        <f>$A$26/2*(100-SUM($E$2:E24))</f>
        <v>1.5909090909090908</v>
      </c>
      <c r="E25" s="19">
        <v>2.2727272727272729</v>
      </c>
      <c r="F25" s="19">
        <f t="shared" si="1"/>
        <v>3.8636363636363638</v>
      </c>
      <c r="G25" s="19">
        <f t="shared" ca="1" si="2"/>
        <v>0.69917479904102842</v>
      </c>
      <c r="H25" s="139">
        <f t="shared" ca="1" si="3"/>
        <v>1.9088804968660455E-2</v>
      </c>
      <c r="I25" s="19">
        <f t="shared" ca="1" si="4"/>
        <v>0.21464300698093755</v>
      </c>
      <c r="J25" s="172">
        <f t="shared" ca="1" si="5"/>
        <v>96.263767417991573</v>
      </c>
      <c r="K25" s="37">
        <f t="shared" ca="1" si="6"/>
        <v>0.27219957716032889</v>
      </c>
      <c r="L25" s="1"/>
      <c r="M25" s="1"/>
      <c r="N25" s="1"/>
      <c r="O25" s="1"/>
      <c r="P25" s="1"/>
      <c r="Q25" s="1"/>
      <c r="R25" s="1"/>
    </row>
    <row r="26" spans="1:18" ht="17.25" customHeight="1" x14ac:dyDescent="0.25">
      <c r="A26" s="65">
        <v>0.05</v>
      </c>
      <c r="B26" s="83">
        <f t="shared" ca="1" si="0"/>
        <v>11.744444444444444</v>
      </c>
      <c r="C26" s="137">
        <f t="shared" si="7"/>
        <v>48769</v>
      </c>
      <c r="D26" s="19">
        <f>$A$26/2*(100-SUM($E$2:E25))</f>
        <v>1.5340909090909092</v>
      </c>
      <c r="E26" s="19">
        <v>2.2727272727272729</v>
      </c>
      <c r="F26" s="19">
        <f t="shared" si="1"/>
        <v>3.8068181818181821</v>
      </c>
      <c r="G26" s="19">
        <f t="shared" ca="1" si="2"/>
        <v>0.63846829002991712</v>
      </c>
      <c r="H26" s="139">
        <f t="shared" ca="1" si="3"/>
        <v>1.743140153760039E-2</v>
      </c>
      <c r="I26" s="19">
        <f t="shared" ca="1" si="4"/>
        <v>0.20472212694715125</v>
      </c>
      <c r="J26" s="172">
        <f t="shared" ca="1" si="5"/>
        <v>95.563647777553186</v>
      </c>
      <c r="K26" s="37">
        <f t="shared" ca="1" si="6"/>
        <v>0.28012238222095631</v>
      </c>
      <c r="L26" s="1"/>
      <c r="M26" s="1"/>
      <c r="N26" s="1"/>
      <c r="O26" s="1"/>
      <c r="P26" s="1"/>
      <c r="Q26" s="1"/>
      <c r="R26" s="1"/>
    </row>
    <row r="27" spans="1:18" ht="17.25" customHeight="1" x14ac:dyDescent="0.25">
      <c r="A27" s="64"/>
      <c r="B27" s="83">
        <f t="shared" ca="1" si="0"/>
        <v>12.244444444444444</v>
      </c>
      <c r="C27" s="137">
        <f t="shared" si="7"/>
        <v>48953</v>
      </c>
      <c r="D27" s="19">
        <f>$A$26/2*(100-SUM($E$2:E26))</f>
        <v>1.4772727272727273</v>
      </c>
      <c r="E27" s="19">
        <v>2.2727272727272729</v>
      </c>
      <c r="F27" s="19">
        <f t="shared" si="1"/>
        <v>3.75</v>
      </c>
      <c r="G27" s="19">
        <f t="shared" ca="1" si="2"/>
        <v>0.58290280041254161</v>
      </c>
      <c r="H27" s="139">
        <f t="shared" ca="1" si="3"/>
        <v>1.5914357737181653E-2</v>
      </c>
      <c r="I27" s="19">
        <f t="shared" ca="1" si="4"/>
        <v>0.19486246918193534</v>
      </c>
      <c r="J27" s="172">
        <f t="shared" ca="1" si="5"/>
        <v>94.529850886062704</v>
      </c>
      <c r="K27" s="37">
        <f t="shared" ca="1" si="6"/>
        <v>0.28768919504221457</v>
      </c>
      <c r="L27" s="1"/>
      <c r="M27" s="1"/>
      <c r="N27" s="1"/>
      <c r="O27" s="1"/>
      <c r="P27" s="1"/>
      <c r="Q27" s="1"/>
      <c r="R27" s="1"/>
    </row>
    <row r="28" spans="1:18" ht="17.25" customHeight="1" x14ac:dyDescent="0.25">
      <c r="A28" s="64"/>
      <c r="B28" s="83">
        <f t="shared" ca="1" si="0"/>
        <v>12.744444444444444</v>
      </c>
      <c r="C28" s="137">
        <f t="shared" si="7"/>
        <v>49134</v>
      </c>
      <c r="D28" s="19">
        <f>$A$26/2*(100-SUM($E$2:E27))</f>
        <v>1.4204545454545454</v>
      </c>
      <c r="E28" s="19">
        <v>2.2727272727272729</v>
      </c>
      <c r="F28" s="19">
        <f t="shared" si="1"/>
        <v>3.6931818181818183</v>
      </c>
      <c r="G28" s="19">
        <f t="shared" ca="1" si="2"/>
        <v>0.53205096990954803</v>
      </c>
      <c r="H28" s="139">
        <f t="shared" ca="1" si="3"/>
        <v>1.4526005817028906E-2</v>
      </c>
      <c r="I28" s="19">
        <f t="shared" ca="1" si="4"/>
        <v>0.18512587413480172</v>
      </c>
      <c r="J28" s="172">
        <f t="shared" ca="1" si="5"/>
        <v>93.196872357468294</v>
      </c>
      <c r="K28" s="37">
        <f t="shared" ca="1" si="6"/>
        <v>0.29490001562410373</v>
      </c>
      <c r="L28" s="1"/>
      <c r="M28" s="1"/>
      <c r="N28" s="1"/>
      <c r="O28" s="1"/>
      <c r="P28" s="1"/>
      <c r="Q28" s="1"/>
      <c r="R28" s="1"/>
    </row>
    <row r="29" spans="1:18" ht="17.25" customHeight="1" x14ac:dyDescent="0.25">
      <c r="A29" s="64"/>
      <c r="B29" s="83">
        <f t="shared" ca="1" si="0"/>
        <v>13.244444444444444</v>
      </c>
      <c r="C29" s="137">
        <f t="shared" si="7"/>
        <v>49318</v>
      </c>
      <c r="D29" s="19">
        <f>$A$26/2*(100-SUM($E$2:E28))</f>
        <v>1.3636363636363635</v>
      </c>
      <c r="E29" s="19">
        <v>2.2727272727272729</v>
      </c>
      <c r="F29" s="19">
        <f t="shared" si="1"/>
        <v>3.6363636363636367</v>
      </c>
      <c r="G29" s="19">
        <f t="shared" ca="1" si="2"/>
        <v>0.48552045661096849</v>
      </c>
      <c r="H29" s="139">
        <f t="shared" ca="1" si="3"/>
        <v>1.3255634095012471E-2</v>
      </c>
      <c r="I29" s="19">
        <f t="shared" ca="1" si="4"/>
        <v>0.17556350934727627</v>
      </c>
      <c r="J29" s="172">
        <f t="shared" ca="1" si="5"/>
        <v>91.598169462631077</v>
      </c>
      <c r="K29" s="37">
        <f t="shared" ca="1" si="6"/>
        <v>0.30175484396662361</v>
      </c>
      <c r="L29" s="1"/>
      <c r="M29" s="1"/>
      <c r="N29" s="1"/>
      <c r="O29" s="1"/>
      <c r="P29" s="1"/>
      <c r="Q29" s="1"/>
      <c r="R29" s="1"/>
    </row>
    <row r="30" spans="1:18" ht="17.25" customHeight="1" x14ac:dyDescent="0.25">
      <c r="A30" s="64"/>
      <c r="B30" s="83">
        <f t="shared" ca="1" si="0"/>
        <v>13.744444444444444</v>
      </c>
      <c r="C30" s="137">
        <f t="shared" si="7"/>
        <v>49499</v>
      </c>
      <c r="D30" s="19">
        <f>$A$26/2*(100-SUM($E$2:E29))</f>
        <v>1.3068181818181817</v>
      </c>
      <c r="E30" s="19">
        <v>2.2727272727272729</v>
      </c>
      <c r="F30" s="19">
        <f t="shared" si="1"/>
        <v>3.5795454545454546</v>
      </c>
      <c r="G30" s="19">
        <f t="shared" ca="1" si="2"/>
        <v>0.44295110021221745</v>
      </c>
      <c r="H30" s="139">
        <f t="shared" ca="1" si="3"/>
        <v>1.2093409508182829E-2</v>
      </c>
      <c r="I30" s="19">
        <f t="shared" ca="1" si="4"/>
        <v>0.16621719512913508</v>
      </c>
      <c r="J30" s="172">
        <f t="shared" ca="1" si="5"/>
        <v>89.765899758920327</v>
      </c>
      <c r="K30" s="37">
        <f t="shared" ca="1" si="6"/>
        <v>0.30825368006977433</v>
      </c>
      <c r="L30" s="1"/>
      <c r="M30" s="1"/>
      <c r="N30" s="1"/>
      <c r="O30" s="1"/>
      <c r="P30" s="1"/>
      <c r="Q30" s="1"/>
      <c r="R30" s="1"/>
    </row>
    <row r="31" spans="1:18" ht="17.25" customHeight="1" x14ac:dyDescent="0.25">
      <c r="A31" s="64"/>
      <c r="B31" s="83">
        <f t="shared" ca="1" si="0"/>
        <v>14.244444444444444</v>
      </c>
      <c r="C31" s="137">
        <f t="shared" si="7"/>
        <v>49683</v>
      </c>
      <c r="D31" s="19">
        <f>$A$26/2*(100-SUM($E$2:E28))</f>
        <v>1.3636363636363635</v>
      </c>
      <c r="E31" s="19">
        <v>2.2727272727272729</v>
      </c>
      <c r="F31" s="19">
        <f t="shared" si="1"/>
        <v>3.6363636363636367</v>
      </c>
      <c r="G31" s="19">
        <f t="shared" ca="1" si="2"/>
        <v>0.41704496816886316</v>
      </c>
      <c r="H31" s="139">
        <f t="shared" ca="1" si="3"/>
        <v>1.1386122714170483E-2</v>
      </c>
      <c r="I31" s="19">
        <f t="shared" ca="1" si="4"/>
        <v>0.16218899243962842</v>
      </c>
      <c r="J31" s="172">
        <f t="shared" ca="1" si="5"/>
        <v>90.560748480504444</v>
      </c>
      <c r="K31" s="37">
        <f t="shared" ca="1" si="6"/>
        <v>0.32453834728625125</v>
      </c>
      <c r="L31" s="1"/>
      <c r="M31" s="1"/>
      <c r="N31" s="1"/>
      <c r="O31" s="1"/>
      <c r="P31" s="1"/>
      <c r="Q31" s="1"/>
      <c r="R31" s="1"/>
    </row>
    <row r="32" spans="1:18" ht="17.25" customHeight="1" x14ac:dyDescent="0.25">
      <c r="A32" s="64"/>
      <c r="B32" s="83">
        <f t="shared" ca="1" si="0"/>
        <v>14.744444444444444</v>
      </c>
      <c r="C32" s="137">
        <f t="shared" si="7"/>
        <v>49865</v>
      </c>
      <c r="D32" s="19">
        <f>$A$26/2*(100-SUM($E$2:E31))</f>
        <v>1.1931818181818181</v>
      </c>
      <c r="E32" s="19">
        <v>2.2727272727272729</v>
      </c>
      <c r="F32" s="19">
        <f t="shared" si="1"/>
        <v>3.4659090909090908</v>
      </c>
      <c r="G32" s="19">
        <f t="shared" ca="1" si="2"/>
        <v>0.36840067985349545</v>
      </c>
      <c r="H32" s="139">
        <f t="shared" ca="1" si="3"/>
        <v>1.0058040904349912E-2</v>
      </c>
      <c r="I32" s="19">
        <f t="shared" ca="1" si="4"/>
        <v>0.14830022533413703</v>
      </c>
      <c r="J32" s="172">
        <f t="shared" ca="1" si="5"/>
        <v>85.52167086032577</v>
      </c>
      <c r="K32" s="37">
        <f t="shared" ca="1" si="6"/>
        <v>0.32018337555796822</v>
      </c>
      <c r="L32" s="1"/>
      <c r="M32" s="1"/>
      <c r="N32" s="1"/>
      <c r="O32" s="1"/>
      <c r="P32" s="1"/>
      <c r="Q32" s="1"/>
      <c r="R32" s="1"/>
    </row>
    <row r="33" spans="1:18" ht="17.25" customHeight="1" x14ac:dyDescent="0.25">
      <c r="A33" s="64"/>
      <c r="B33" s="83">
        <f t="shared" ca="1" si="0"/>
        <v>15.244444444444444</v>
      </c>
      <c r="C33" s="137">
        <f t="shared" si="7"/>
        <v>50049</v>
      </c>
      <c r="D33" s="19">
        <f>$A$26/2*(100-SUM($E$2:E32))</f>
        <v>1.1363636363636362</v>
      </c>
      <c r="E33" s="19">
        <v>2.2727272727272729</v>
      </c>
      <c r="F33" s="19">
        <f t="shared" si="1"/>
        <v>3.4090909090909092</v>
      </c>
      <c r="G33" s="19">
        <f t="shared" ca="1" si="2"/>
        <v>0.33583775238008978</v>
      </c>
      <c r="H33" s="139">
        <f t="shared" ca="1" si="3"/>
        <v>9.169010904125318E-3</v>
      </c>
      <c r="I33" s="19">
        <f t="shared" ca="1" si="4"/>
        <v>0.13977647733844373</v>
      </c>
      <c r="J33" s="172">
        <f t="shared" ca="1" si="5"/>
        <v>83.166031770387207</v>
      </c>
      <c r="K33" s="37">
        <f t="shared" ca="1" si="6"/>
        <v>0.32561423494301139</v>
      </c>
      <c r="L33" s="1"/>
      <c r="M33" s="1"/>
      <c r="N33" s="1"/>
      <c r="O33" s="1"/>
      <c r="P33" s="1"/>
      <c r="Q33" s="1"/>
      <c r="R33" s="1"/>
    </row>
    <row r="34" spans="1:18" ht="17.25" customHeight="1" x14ac:dyDescent="0.25">
      <c r="A34" s="64"/>
      <c r="B34" s="83">
        <f t="shared" ca="1" si="0"/>
        <v>15.744444444444444</v>
      </c>
      <c r="C34" s="137">
        <f t="shared" si="7"/>
        <v>50230</v>
      </c>
      <c r="D34" s="19">
        <f>$A$26/2*(100-SUM($E$2:E33))</f>
        <v>1.0795454545454544</v>
      </c>
      <c r="E34" s="19">
        <v>2.2727272727272729</v>
      </c>
      <c r="F34" s="19">
        <f t="shared" si="1"/>
        <v>3.3522727272727275</v>
      </c>
      <c r="G34" s="19">
        <f t="shared" ca="1" si="2"/>
        <v>0.30606801878721013</v>
      </c>
      <c r="H34" s="139">
        <f t="shared" ca="1" si="3"/>
        <v>8.3562404219756706E-3</v>
      </c>
      <c r="I34" s="19">
        <f t="shared" ca="1" si="4"/>
        <v>0.13156436308821695</v>
      </c>
      <c r="J34" s="172">
        <f t="shared" ca="1" si="5"/>
        <v>80.689316371674735</v>
      </c>
      <c r="K34" s="37">
        <f t="shared" ca="1" si="6"/>
        <v>0.3306891020886854</v>
      </c>
      <c r="L34" s="1"/>
      <c r="M34" s="1"/>
      <c r="N34" s="1"/>
      <c r="O34" s="1"/>
      <c r="P34" s="1"/>
      <c r="Q34" s="1"/>
      <c r="R34" s="1"/>
    </row>
    <row r="35" spans="1:18" ht="17.25" customHeight="1" x14ac:dyDescent="0.25">
      <c r="A35" s="64"/>
      <c r="B35" s="83">
        <f t="shared" ca="1" si="0"/>
        <v>16.244444444444444</v>
      </c>
      <c r="C35" s="137">
        <f t="shared" si="7"/>
        <v>50414</v>
      </c>
      <c r="D35" s="19">
        <f>$A$26/2*(100-SUM($E$2:E34))</f>
        <v>1.0227272727272725</v>
      </c>
      <c r="E35" s="19">
        <v>2.2727272727272729</v>
      </c>
      <c r="F35" s="19">
        <f t="shared" si="1"/>
        <v>3.2954545454545454</v>
      </c>
      <c r="G35" s="19">
        <f t="shared" ca="1" si="2"/>
        <v>0.27885703835825415</v>
      </c>
      <c r="H35" s="139">
        <f t="shared" ca="1" si="3"/>
        <v>7.6133287793838491E-3</v>
      </c>
      <c r="I35" s="19">
        <f t="shared" ca="1" si="4"/>
        <v>0.12367429639399097</v>
      </c>
      <c r="J35" s="172">
        <f t="shared" ca="1" si="5"/>
        <v>78.115223778246815</v>
      </c>
      <c r="K35" s="37">
        <f t="shared" ca="1" si="6"/>
        <v>0.3354079769949902</v>
      </c>
      <c r="L35" s="1"/>
      <c r="M35" s="1"/>
      <c r="N35" s="1"/>
      <c r="O35" s="1"/>
      <c r="P35" s="1"/>
      <c r="Q35" s="1"/>
      <c r="R35" s="1"/>
    </row>
    <row r="36" spans="1:18" ht="17.25" customHeight="1" x14ac:dyDescent="0.25">
      <c r="A36" s="64"/>
      <c r="B36" s="83">
        <f t="shared" ca="1" si="0"/>
        <v>16.744444444444444</v>
      </c>
      <c r="C36" s="137">
        <f t="shared" si="7"/>
        <v>50595</v>
      </c>
      <c r="D36" s="19">
        <f>$A$26/2*(100-SUM($E$2:E35))</f>
        <v>0.96590909090909072</v>
      </c>
      <c r="E36" s="19">
        <v>2.2727272727272729</v>
      </c>
      <c r="F36" s="19">
        <f t="shared" si="1"/>
        <v>3.2386363636363638</v>
      </c>
      <c r="G36" s="19">
        <f t="shared" ca="1" si="2"/>
        <v>0.25398972568303851</v>
      </c>
      <c r="H36" s="139">
        <f t="shared" ca="1" si="3"/>
        <v>6.9344037345982551E-3</v>
      </c>
      <c r="I36" s="19">
        <f t="shared" ca="1" si="4"/>
        <v>0.11611273808932855</v>
      </c>
      <c r="J36" s="172">
        <f t="shared" ca="1" si="5"/>
        <v>75.465646792238203</v>
      </c>
      <c r="K36" s="37">
        <f t="shared" ca="1" si="6"/>
        <v>0.33977085966192588</v>
      </c>
      <c r="L36" s="1"/>
      <c r="M36" s="1"/>
      <c r="N36" s="1"/>
      <c r="O36" s="1"/>
      <c r="P36" s="1"/>
      <c r="Q36" s="1"/>
      <c r="R36" s="1"/>
    </row>
    <row r="37" spans="1:18" ht="17.25" customHeight="1" x14ac:dyDescent="0.25">
      <c r="A37" s="64"/>
      <c r="B37" s="83">
        <f t="shared" ca="1" si="0"/>
        <v>17.244444444444444</v>
      </c>
      <c r="C37" s="137">
        <f t="shared" si="7"/>
        <v>50779</v>
      </c>
      <c r="D37" s="19">
        <f>$A$26/2*(100-SUM($E$2:E36))</f>
        <v>0.90909090909090884</v>
      </c>
      <c r="E37" s="19">
        <v>2.2727272727272729</v>
      </c>
      <c r="F37" s="19">
        <f t="shared" si="1"/>
        <v>3.1818181818181817</v>
      </c>
      <c r="G37" s="19">
        <f t="shared" ca="1" si="2"/>
        <v>0.23126877324603171</v>
      </c>
      <c r="H37" s="139">
        <f t="shared" ca="1" si="3"/>
        <v>6.314078416284283E-3</v>
      </c>
      <c r="I37" s="19">
        <f t="shared" ca="1" si="4"/>
        <v>0.10888277446748007</v>
      </c>
      <c r="J37" s="172">
        <f t="shared" ca="1" si="5"/>
        <v>72.760696474051258</v>
      </c>
      <c r="K37" s="37">
        <f t="shared" ca="1" si="6"/>
        <v>0.3437777500894923</v>
      </c>
      <c r="L37" s="1"/>
      <c r="M37" s="1"/>
      <c r="N37" s="1"/>
      <c r="O37" s="1"/>
      <c r="P37" s="1"/>
      <c r="Q37" s="1"/>
      <c r="R37" s="1"/>
    </row>
    <row r="38" spans="1:18" ht="17.25" customHeight="1" x14ac:dyDescent="0.25">
      <c r="A38" s="64"/>
      <c r="B38" s="83">
        <f t="shared" ca="1" si="0"/>
        <v>17.744444444444444</v>
      </c>
      <c r="C38" s="137">
        <f t="shared" si="7"/>
        <v>50960</v>
      </c>
      <c r="D38" s="19">
        <f>$A$26/2*(100-SUM($E$2:E37))</f>
        <v>0.85227272727272707</v>
      </c>
      <c r="E38" s="19">
        <v>2.2727272727272729</v>
      </c>
      <c r="F38" s="19">
        <f t="shared" si="1"/>
        <v>3.125</v>
      </c>
      <c r="G38" s="19">
        <f t="shared" ca="1" si="2"/>
        <v>0.21051320123615946</v>
      </c>
      <c r="H38" s="139">
        <f t="shared" ca="1" si="3"/>
        <v>5.7474117305672682E-3</v>
      </c>
      <c r="I38" s="19">
        <f t="shared" ca="1" si="4"/>
        <v>0.10198462815239918</v>
      </c>
      <c r="J38" s="172">
        <f t="shared" ca="1" si="5"/>
        <v>70.018743884590776</v>
      </c>
      <c r="K38" s="37">
        <f t="shared" ca="1" si="6"/>
        <v>0.3474286482776896</v>
      </c>
      <c r="L38" s="1"/>
      <c r="M38" s="1"/>
      <c r="N38" s="1"/>
      <c r="O38" s="1"/>
      <c r="P38" s="1"/>
      <c r="Q38" s="1"/>
      <c r="R38" s="1"/>
    </row>
    <row r="39" spans="1:18" ht="17.25" customHeight="1" x14ac:dyDescent="0.25">
      <c r="A39" s="64"/>
      <c r="B39" s="83">
        <f t="shared" ca="1" si="0"/>
        <v>18.244444444444444</v>
      </c>
      <c r="C39" s="137">
        <f t="shared" si="7"/>
        <v>51144</v>
      </c>
      <c r="D39" s="19">
        <f>$A$26/2*(100-SUM($E$2:E38))</f>
        <v>0.79545454545454541</v>
      </c>
      <c r="E39" s="19">
        <v>2.2727272727272729</v>
      </c>
      <c r="F39" s="19">
        <f t="shared" si="1"/>
        <v>3.0681818181818183</v>
      </c>
      <c r="G39" s="19">
        <f t="shared" ca="1" si="2"/>
        <v>0.19155702440518071</v>
      </c>
      <c r="H39" s="139">
        <f t="shared" ca="1" si="3"/>
        <v>5.2298719637245573E-3</v>
      </c>
      <c r="I39" s="19">
        <f t="shared" ca="1" si="4"/>
        <v>9.5416108493730251E-2</v>
      </c>
      <c r="J39" s="172">
        <f t="shared" ca="1" si="5"/>
        <v>67.256475335181136</v>
      </c>
      <c r="K39" s="37">
        <f t="shared" ca="1" si="6"/>
        <v>0.35072355422651769</v>
      </c>
      <c r="L39" s="1"/>
      <c r="M39" s="1"/>
      <c r="N39" s="1"/>
      <c r="O39" s="1"/>
      <c r="P39" s="1"/>
      <c r="Q39" s="1"/>
      <c r="R39" s="1"/>
    </row>
    <row r="40" spans="1:18" ht="17.25" customHeight="1" x14ac:dyDescent="0.25">
      <c r="A40" s="64"/>
      <c r="B40" s="83">
        <f t="shared" ca="1" si="0"/>
        <v>18.744444444444444</v>
      </c>
      <c r="C40" s="137">
        <f t="shared" si="7"/>
        <v>51326</v>
      </c>
      <c r="D40" s="19">
        <f>$A$26/2*(100-SUM($E$2:E39))</f>
        <v>0.73863636363636376</v>
      </c>
      <c r="E40" s="19">
        <v>2.2727272727272729</v>
      </c>
      <c r="F40" s="19">
        <f t="shared" si="1"/>
        <v>3.0113636363636367</v>
      </c>
      <c r="G40" s="19">
        <f t="shared" ca="1" si="2"/>
        <v>0.17424802660926433</v>
      </c>
      <c r="H40" s="139">
        <f t="shared" ca="1" si="3"/>
        <v>4.7573033248342516E-3</v>
      </c>
      <c r="I40" s="19">
        <f t="shared" ca="1" si="4"/>
        <v>8.9173007877726473E-2</v>
      </c>
      <c r="J40" s="172">
        <f t="shared" ca="1" si="5"/>
        <v>64.488958014966173</v>
      </c>
      <c r="K40" s="37">
        <f t="shared" ca="1" si="6"/>
        <v>0.35366246793597661</v>
      </c>
      <c r="L40" s="1"/>
      <c r="M40" s="1"/>
      <c r="N40" s="1"/>
      <c r="O40" s="1"/>
      <c r="P40" s="1"/>
      <c r="Q40" s="1"/>
      <c r="R40" s="1"/>
    </row>
    <row r="41" spans="1:18" ht="17.25" customHeight="1" x14ac:dyDescent="0.25">
      <c r="A41" s="64"/>
      <c r="B41" s="83">
        <f t="shared" ca="1" si="0"/>
        <v>19.244444444444444</v>
      </c>
      <c r="C41" s="137">
        <f t="shared" si="7"/>
        <v>51510</v>
      </c>
      <c r="D41" s="19">
        <f>$A$26/2*(100-SUM($E$2:E40))</f>
        <v>0.6818181818181821</v>
      </c>
      <c r="E41" s="19">
        <v>2.2727272727272729</v>
      </c>
      <c r="F41" s="19">
        <f t="shared" si="1"/>
        <v>2.954545454545455</v>
      </c>
      <c r="G41" s="19">
        <f t="shared" ca="1" si="2"/>
        <v>0.15844663441231219</v>
      </c>
      <c r="H41" s="139">
        <f t="shared" ca="1" si="3"/>
        <v>4.3258951929984919E-3</v>
      </c>
      <c r="I41" s="19">
        <f t="shared" ca="1" si="4"/>
        <v>8.3249449714148757E-2</v>
      </c>
      <c r="J41" s="172">
        <f t="shared" ca="1" si="5"/>
        <v>61.729713333514958</v>
      </c>
      <c r="K41" s="37">
        <f t="shared" ca="1" si="6"/>
        <v>0.35624538940606643</v>
      </c>
      <c r="L41" s="1"/>
      <c r="M41" s="1"/>
      <c r="N41" s="1"/>
      <c r="O41" s="1"/>
      <c r="P41" s="1"/>
      <c r="Q41" s="1"/>
      <c r="R41" s="1"/>
    </row>
    <row r="42" spans="1:18" ht="17.25" customHeight="1" x14ac:dyDescent="0.25">
      <c r="A42" s="64"/>
      <c r="B42" s="83">
        <f t="shared" ca="1" si="0"/>
        <v>19.744444444444444</v>
      </c>
      <c r="C42" s="137">
        <f t="shared" si="7"/>
        <v>51691</v>
      </c>
      <c r="D42" s="19">
        <f>$A$26/2*(100-SUM($E$2:E41))</f>
        <v>0.62500000000000044</v>
      </c>
      <c r="E42" s="19">
        <v>2.2727272727272729</v>
      </c>
      <c r="F42" s="19">
        <f t="shared" si="1"/>
        <v>2.8977272727272734</v>
      </c>
      <c r="G42" s="19">
        <f t="shared" ca="1" si="2"/>
        <v>0.14402488181475456</v>
      </c>
      <c r="H42" s="139">
        <f t="shared" ca="1" si="3"/>
        <v>3.9321538524658582E-3</v>
      </c>
      <c r="I42" s="19">
        <f t="shared" ca="1" si="4"/>
        <v>7.7638193287020332E-2</v>
      </c>
      <c r="J42" s="172">
        <f t="shared" ca="1" si="5"/>
        <v>58.990795725513181</v>
      </c>
      <c r="K42" s="37">
        <f t="shared" ca="1" si="6"/>
        <v>0.35847231863678697</v>
      </c>
      <c r="L42" s="1"/>
      <c r="M42" s="1"/>
      <c r="N42" s="1"/>
      <c r="O42" s="1"/>
      <c r="P42" s="1"/>
      <c r="Q42" s="1"/>
      <c r="R42" s="1"/>
    </row>
    <row r="43" spans="1:18" ht="17.25" customHeight="1" x14ac:dyDescent="0.25">
      <c r="A43" s="64"/>
      <c r="B43" s="83">
        <f t="shared" ca="1" si="0"/>
        <v>20.244444444444444</v>
      </c>
      <c r="C43" s="137">
        <f t="shared" si="7"/>
        <v>51875</v>
      </c>
      <c r="D43" s="19">
        <f>$A$26/2*(100-SUM($E$2:E42))</f>
        <v>0.56818181818181868</v>
      </c>
      <c r="E43" s="19">
        <v>2.2727272727272729</v>
      </c>
      <c r="F43" s="19">
        <f t="shared" si="1"/>
        <v>2.8409090909090917</v>
      </c>
      <c r="G43" s="19">
        <f t="shared" ca="1" si="2"/>
        <v>0.13086545880261258</v>
      </c>
      <c r="H43" s="139">
        <f t="shared" ca="1" si="3"/>
        <v>3.5728765162068602E-3</v>
      </c>
      <c r="I43" s="19">
        <f t="shared" ca="1" si="4"/>
        <v>7.2330900139209994E-2</v>
      </c>
      <c r="J43" s="172">
        <f t="shared" ca="1" si="5"/>
        <v>56.282875021499322</v>
      </c>
      <c r="K43" s="37">
        <f t="shared" ca="1" si="6"/>
        <v>0.36034325562813835</v>
      </c>
      <c r="L43" s="1"/>
      <c r="M43" s="1"/>
      <c r="N43" s="1"/>
      <c r="O43" s="1"/>
      <c r="P43" s="1"/>
      <c r="Q43" s="1"/>
      <c r="R43" s="1"/>
    </row>
    <row r="44" spans="1:18" ht="17.25" customHeight="1" x14ac:dyDescent="0.25">
      <c r="A44" s="64"/>
      <c r="B44" s="83">
        <f t="shared" ca="1" si="0"/>
        <v>20.744444444444444</v>
      </c>
      <c r="C44" s="137">
        <f t="shared" si="7"/>
        <v>52056</v>
      </c>
      <c r="D44" s="19">
        <f>$A$26/2*(100-SUM($E$2:E43))</f>
        <v>0.51136363636363702</v>
      </c>
      <c r="E44" s="19">
        <v>2.2727272727272729</v>
      </c>
      <c r="F44" s="19">
        <f t="shared" si="1"/>
        <v>2.7840909090909101</v>
      </c>
      <c r="G44" s="19">
        <f t="shared" ca="1" si="2"/>
        <v>0.11886083699283061</v>
      </c>
      <c r="H44" s="139">
        <f t="shared" ca="1" si="3"/>
        <v>3.2451274543645885E-3</v>
      </c>
      <c r="I44" s="19">
        <f t="shared" ca="1" si="4"/>
        <v>6.7318366192207629E-2</v>
      </c>
      <c r="J44" s="172">
        <f t="shared" ca="1" si="5"/>
        <v>53.615320799581234</v>
      </c>
      <c r="K44" s="37">
        <f t="shared" ca="1" si="6"/>
        <v>0.36185820038012056</v>
      </c>
      <c r="L44" s="1"/>
      <c r="M44" s="1"/>
      <c r="N44" s="1"/>
      <c r="O44" s="1"/>
      <c r="P44" s="1"/>
      <c r="Q44" s="1"/>
      <c r="R44" s="1"/>
    </row>
    <row r="45" spans="1:18" ht="17.25" customHeight="1" x14ac:dyDescent="0.25">
      <c r="A45" s="64"/>
      <c r="B45" s="83">
        <f t="shared" ca="1" si="0"/>
        <v>21.244444444444444</v>
      </c>
      <c r="C45" s="137">
        <f t="shared" si="7"/>
        <v>52240</v>
      </c>
      <c r="D45" s="19">
        <f>$A$26/2*(100-SUM($E$2:E44))</f>
        <v>0.45454545454545542</v>
      </c>
      <c r="E45" s="19">
        <v>2.2727272727272729</v>
      </c>
      <c r="F45" s="19">
        <f t="shared" si="1"/>
        <v>2.7272727272727284</v>
      </c>
      <c r="G45" s="19">
        <f t="shared" ca="1" si="2"/>
        <v>0.10791246618613852</v>
      </c>
      <c r="H45" s="139">
        <f t="shared" ca="1" si="3"/>
        <v>2.9462160586161026E-3</v>
      </c>
      <c r="I45" s="19">
        <f t="shared" ca="1" si="4"/>
        <v>6.2590723378599861E-2</v>
      </c>
      <c r="J45" s="172">
        <f t="shared" ca="1" si="5"/>
        <v>50.996287403270301</v>
      </c>
      <c r="K45" s="37">
        <f t="shared" ca="1" si="6"/>
        <v>0.36301715289273356</v>
      </c>
      <c r="L45" s="1"/>
      <c r="M45" s="1"/>
      <c r="N45" s="1"/>
      <c r="O45" s="1"/>
      <c r="P45" s="1"/>
      <c r="Q45" s="1"/>
      <c r="R45" s="1"/>
    </row>
    <row r="46" spans="1:18" ht="17.25" customHeight="1" x14ac:dyDescent="0.25">
      <c r="A46" s="64"/>
      <c r="B46" s="83">
        <f t="shared" ca="1" si="0"/>
        <v>21.744444444444444</v>
      </c>
      <c r="C46" s="137">
        <f t="shared" si="7"/>
        <v>52421</v>
      </c>
      <c r="D46" s="19">
        <f>$A$26/2*(100-SUM($E$2:E45))</f>
        <v>0.39772727272727376</v>
      </c>
      <c r="E46" s="19">
        <v>2.2727272727272729</v>
      </c>
      <c r="F46" s="19">
        <f t="shared" si="1"/>
        <v>2.6704545454545467</v>
      </c>
      <c r="G46" s="19">
        <f t="shared" ca="1" si="2"/>
        <v>9.7930036131632148E-2</v>
      </c>
      <c r="H46" s="139">
        <f t="shared" ca="1" si="3"/>
        <v>2.6736766869380557E-3</v>
      </c>
      <c r="I46" s="19">
        <f t="shared" ca="1" si="4"/>
        <v>5.8137614181530829E-2</v>
      </c>
      <c r="J46" s="172">
        <f t="shared" ca="1" si="5"/>
        <v>48.432798544760438</v>
      </c>
      <c r="K46" s="37">
        <f t="shared" ca="1" si="6"/>
        <v>0.36382011316597745</v>
      </c>
      <c r="L46" s="1"/>
      <c r="M46" s="1"/>
      <c r="N46" s="1"/>
      <c r="O46" s="1"/>
      <c r="P46" s="1"/>
      <c r="Q46" s="1"/>
      <c r="R46" s="1"/>
    </row>
    <row r="47" spans="1:18" ht="17.25" customHeight="1" x14ac:dyDescent="0.25">
      <c r="A47" s="64"/>
      <c r="B47" s="83">
        <f t="shared" ca="1" si="0"/>
        <v>22.244444444444444</v>
      </c>
      <c r="C47" s="137">
        <f t="shared" si="7"/>
        <v>52605</v>
      </c>
      <c r="D47" s="19">
        <f>$A$26/2*(100-SUM($E$2:E46))</f>
        <v>0.34090909090909211</v>
      </c>
      <c r="E47" s="19">
        <v>2.2727272727272729</v>
      </c>
      <c r="F47" s="19">
        <f t="shared" si="1"/>
        <v>2.6136363636363651</v>
      </c>
      <c r="G47" s="19">
        <f t="shared" ca="1" si="2"/>
        <v>8.8830798261185145E-2</v>
      </c>
      <c r="H47" s="139">
        <f t="shared" ca="1" si="3"/>
        <v>2.4252501456630466E-3</v>
      </c>
      <c r="I47" s="19">
        <f t="shared" ca="1" si="4"/>
        <v>5.3948342129082436E-2</v>
      </c>
      <c r="J47" s="172">
        <f t="shared" ca="1" si="5"/>
        <v>45.930830615397952</v>
      </c>
      <c r="K47" s="37">
        <f t="shared" ca="1" si="6"/>
        <v>0.36426708119985207</v>
      </c>
      <c r="L47" s="1"/>
      <c r="M47" s="1"/>
      <c r="N47" s="1"/>
      <c r="O47" s="1"/>
      <c r="P47" s="1"/>
      <c r="Q47" s="1"/>
      <c r="R47" s="1"/>
    </row>
    <row r="48" spans="1:18" ht="17.25" customHeight="1" x14ac:dyDescent="0.25">
      <c r="A48" s="64"/>
      <c r="B48" s="83">
        <f t="shared" ca="1" si="0"/>
        <v>22.744444444444444</v>
      </c>
      <c r="C48" s="137">
        <f t="shared" si="7"/>
        <v>52787</v>
      </c>
      <c r="D48" s="19">
        <f>$A$26/2*(100-SUM($E$2:E47))</f>
        <v>0.28409090909091045</v>
      </c>
      <c r="E48" s="19">
        <v>2.2727272727272729</v>
      </c>
      <c r="F48" s="19">
        <f t="shared" si="1"/>
        <v>2.5568181818181834</v>
      </c>
      <c r="G48" s="19">
        <f t="shared" ca="1" si="2"/>
        <v>8.0538942569791952E-2</v>
      </c>
      <c r="H48" s="139">
        <f t="shared" ca="1" si="3"/>
        <v>2.1988666771250256E-3</v>
      </c>
      <c r="I48" s="19">
        <f t="shared" ca="1" si="4"/>
        <v>5.0012000978610305E-2</v>
      </c>
      <c r="J48" s="172">
        <f t="shared" ca="1" si="5"/>
        <v>43.495393999513347</v>
      </c>
      <c r="K48" s="37">
        <f t="shared" ca="1" si="6"/>
        <v>0.36435805699435753</v>
      </c>
      <c r="L48" s="1"/>
      <c r="M48" s="1"/>
      <c r="N48" s="1"/>
      <c r="O48" s="1"/>
      <c r="P48" s="1"/>
      <c r="Q48" s="1"/>
      <c r="R48" s="1"/>
    </row>
    <row r="49" spans="1:18" ht="17.25" customHeight="1" x14ac:dyDescent="0.25">
      <c r="A49" s="64"/>
      <c r="B49" s="83">
        <f t="shared" ca="1" si="0"/>
        <v>23.244444444444444</v>
      </c>
      <c r="C49" s="137">
        <f t="shared" si="7"/>
        <v>52971</v>
      </c>
      <c r="D49" s="19">
        <f>$A$26/2*(100-SUM($E$2:E48))</f>
        <v>0.22727272727272876</v>
      </c>
      <c r="E49" s="19">
        <v>2.2727272727272729</v>
      </c>
      <c r="F49" s="19">
        <f t="shared" si="1"/>
        <v>2.5000000000000018</v>
      </c>
      <c r="G49" s="19">
        <f t="shared" ca="1" si="2"/>
        <v>7.2985025202827319E-2</v>
      </c>
      <c r="H49" s="139">
        <f t="shared" ca="1" si="3"/>
        <v>1.9926303317001908E-3</v>
      </c>
      <c r="I49" s="19">
        <f t="shared" ca="1" si="4"/>
        <v>4.6317585043519988E-2</v>
      </c>
      <c r="J49" s="172">
        <f t="shared" ca="1" si="5"/>
        <v>41.130611837587004</v>
      </c>
      <c r="K49" s="37">
        <f t="shared" ca="1" si="6"/>
        <v>0.36409304054949387</v>
      </c>
      <c r="L49" s="1"/>
      <c r="M49" s="1"/>
      <c r="N49" s="1"/>
      <c r="O49" s="1"/>
      <c r="P49" s="1"/>
      <c r="Q49" s="1"/>
      <c r="R49" s="1"/>
    </row>
    <row r="50" spans="1:18" ht="17.25" customHeight="1" x14ac:dyDescent="0.25">
      <c r="A50" s="64"/>
      <c r="B50" s="83">
        <f t="shared" ca="1" si="0"/>
        <v>23.744444444444444</v>
      </c>
      <c r="C50" s="137">
        <f t="shared" si="7"/>
        <v>53152</v>
      </c>
      <c r="D50" s="19">
        <f>$A$26/2*(100-SUM($E$2:E49))</f>
        <v>0.17045454545454711</v>
      </c>
      <c r="E50" s="19">
        <v>2.2727272727272729</v>
      </c>
      <c r="F50" s="19">
        <f>+D50+E50</f>
        <v>2.4431818181818201</v>
      </c>
      <c r="G50" s="19">
        <f t="shared" ca="1" si="2"/>
        <v>6.6105442665589736E-2</v>
      </c>
      <c r="H50" s="139">
        <f t="shared" ca="1" si="3"/>
        <v>1.8048046127251219E-3</v>
      </c>
      <c r="I50" s="19">
        <f t="shared" ca="1" si="4"/>
        <v>4.2854082859928727E-2</v>
      </c>
      <c r="J50" s="172">
        <f t="shared" ca="1" si="5"/>
        <v>38.839795812884624</v>
      </c>
      <c r="K50" s="37">
        <f t="shared" ca="1" si="6"/>
        <v>0.363472031865261</v>
      </c>
      <c r="L50" s="1"/>
      <c r="M50" s="1"/>
      <c r="N50" s="1"/>
      <c r="O50" s="1"/>
      <c r="P50" s="1"/>
      <c r="Q50" s="1"/>
      <c r="R50" s="1"/>
    </row>
    <row r="51" spans="1:18" ht="17.25" customHeight="1" x14ac:dyDescent="0.25">
      <c r="A51" s="66"/>
      <c r="B51" s="83">
        <f t="shared" ca="1" si="0"/>
        <v>24.244444444444444</v>
      </c>
      <c r="C51" s="137">
        <f t="shared" si="7"/>
        <v>53336</v>
      </c>
      <c r="D51" s="19">
        <f>$A$26/2*(100-SUM($E$2:E50))</f>
        <v>0.11363636363636545</v>
      </c>
      <c r="E51" s="19">
        <v>2.2727272727272729</v>
      </c>
      <c r="F51" s="19">
        <f t="shared" si="1"/>
        <v>2.3863636363636385</v>
      </c>
      <c r="G51" s="19">
        <f t="shared" ca="1" si="2"/>
        <v>5.9841948896784312E-2</v>
      </c>
      <c r="H51" s="139">
        <f t="shared" ca="1" si="3"/>
        <v>1.6337992916821782E-3</v>
      </c>
      <c r="I51" s="19">
        <f t="shared" ca="1" si="4"/>
        <v>3.961055616056125E-2</v>
      </c>
      <c r="J51" s="172">
        <f t="shared" ca="1" si="5"/>
        <v>36.625518644889361</v>
      </c>
      <c r="K51" s="37">
        <f t="shared" ca="1" si="6"/>
        <v>0.36249503094165891</v>
      </c>
      <c r="L51" s="1"/>
      <c r="M51" s="1"/>
      <c r="N51" s="1"/>
      <c r="O51" s="1"/>
      <c r="P51" s="1"/>
      <c r="Q51" s="1"/>
      <c r="R51" s="1"/>
    </row>
    <row r="52" spans="1:18" ht="17.25" customHeight="1" thickBot="1" x14ac:dyDescent="0.3">
      <c r="A52" s="67"/>
      <c r="B52" s="91">
        <f t="shared" ca="1" si="0"/>
        <v>24.744444444444444</v>
      </c>
      <c r="C52" s="138">
        <f t="shared" si="7"/>
        <v>53517</v>
      </c>
      <c r="D52" s="28">
        <f>$A$26/2*(100-SUM($E$2:E51))</f>
        <v>5.6818181818183794E-2</v>
      </c>
      <c r="E52" s="28">
        <v>2.2727272727272729</v>
      </c>
      <c r="F52" s="28">
        <f>+D52+E52</f>
        <v>2.3295454545454568</v>
      </c>
      <c r="G52" s="28">
        <f t="shared" ca="1" si="2"/>
        <v>5.4141211748007428E-2</v>
      </c>
      <c r="H52" s="140">
        <f t="shared" ca="1" si="3"/>
        <v>1.4781582992438713E-3</v>
      </c>
      <c r="I52" s="28">
        <f t="shared" ca="1" si="4"/>
        <v>3.6576205915734454E-2</v>
      </c>
      <c r="J52" s="28">
        <f t="shared" ca="1" si="5"/>
        <v>34.489683065436623</v>
      </c>
      <c r="K52" s="44">
        <f t="shared" ca="1" si="6"/>
        <v>0.36116203777868772</v>
      </c>
      <c r="L52" s="1"/>
      <c r="M52" s="1"/>
      <c r="N52" s="1"/>
      <c r="O52" s="1"/>
      <c r="P52" s="1"/>
      <c r="Q52" s="1"/>
      <c r="R52" s="1"/>
    </row>
    <row r="53" spans="1:18" ht="17.25" customHeight="1" thickTop="1" x14ac:dyDescent="0.25">
      <c r="F53" s="120">
        <f>SUM(F3:F52)</f>
        <v>159.60511363636371</v>
      </c>
      <c r="G53" s="120">
        <f ca="1">SUM(G3:G52)</f>
        <v>36.627478786069474</v>
      </c>
      <c r="H53" s="133">
        <f ca="1">SUM(H3:H52)</f>
        <v>1.0000000000000004</v>
      </c>
      <c r="I53" s="120">
        <f ca="1">SUM(I3:I52)</f>
        <v>7.4163049158196603</v>
      </c>
      <c r="J53" s="174">
        <f ca="1">SUM(J3:J52)/((1+O4)^2)</f>
        <v>2311.1607439753743</v>
      </c>
      <c r="K53" s="174">
        <f ca="1">SUM(K3:K52)</f>
        <v>12.430868680396092</v>
      </c>
      <c r="L53" s="1"/>
      <c r="M53" s="1"/>
      <c r="N53" s="1"/>
      <c r="O53" s="1"/>
      <c r="P53" s="1"/>
      <c r="Q53" s="1"/>
      <c r="R53" s="1"/>
    </row>
    <row r="54" spans="1:18" ht="17.25" customHeight="1" x14ac:dyDescent="0.25">
      <c r="M54" s="1"/>
      <c r="N54" s="1"/>
    </row>
    <row r="55" spans="1:18" ht="17.25" customHeight="1" x14ac:dyDescent="0.25">
      <c r="E55" s="1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Curva de rendimientos</vt:lpstr>
      <vt:lpstr>GD29</vt:lpstr>
      <vt:lpstr>GD30 </vt:lpstr>
      <vt:lpstr>GD35 </vt:lpstr>
      <vt:lpstr>GD38 </vt:lpstr>
      <vt:lpstr>GD41</vt:lpstr>
      <vt:lpstr>GD46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2020-08-27T13:06:36Z</dcterms:created>
  <dcterms:modified xsi:type="dcterms:W3CDTF">2021-10-07T20:42:04Z</dcterms:modified>
</cp:coreProperties>
</file>